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Wescley\Desktop\TRABALHO REMOTO\71000.0074942020-53 - Eventos - Subst. Fox\"/>
    </mc:Choice>
  </mc:AlternateContent>
  <xr:revisionPtr revIDLastSave="0" documentId="13_ncr:1_{6BF0D100-E363-4498-B668-8247C7B8D170}" xr6:coauthVersionLast="45" xr6:coauthVersionMax="45" xr10:uidLastSave="{00000000-0000-0000-0000-000000000000}"/>
  <bookViews>
    <workbookView xWindow="-120" yWindow="-120" windowWidth="29040" windowHeight="15840" xr2:uid="{7F4D980D-7ADC-4219-9A6F-B3E2C1E936F5}"/>
  </bookViews>
  <sheets>
    <sheet name="QUADRO RESUMO" sheetId="9" r:id="rId1"/>
    <sheet name="EVENTOS TÉCNICOS" sheetId="6" r:id="rId2"/>
    <sheet name="EVENTOS DE ENTREGA" sheetId="2" r:id="rId3"/>
    <sheet name="EVENTO DE DIVULGAÇÃO" sheetId="7" r:id="rId4"/>
    <sheet name="EVENTOS INTERNO" sheetId="4" r:id="rId5"/>
    <sheet name="EVENTOS COMEMORATIVOS" sheetId="5" r:id="rId6"/>
    <sheet name="ANÁLISE DOS PREÇOS COLETADOS" sheetId="8"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8" i="8" l="1"/>
  <c r="H58" i="7" l="1"/>
  <c r="G58" i="7"/>
  <c r="AD38" i="8" l="1"/>
  <c r="AA6" i="8"/>
  <c r="Z6" i="8"/>
  <c r="Y6" i="8"/>
  <c r="V6" i="8"/>
  <c r="X6" i="8" s="1"/>
  <c r="U6" i="8"/>
  <c r="AA3" i="8"/>
  <c r="Z3" i="8"/>
  <c r="Y3" i="8"/>
  <c r="AD88" i="8"/>
  <c r="G59" i="7" s="1"/>
  <c r="H59" i="7" s="1"/>
  <c r="AB88" i="8"/>
  <c r="AC88" i="8" s="1"/>
  <c r="AA88" i="8"/>
  <c r="Z88" i="8"/>
  <c r="X88" i="8"/>
  <c r="V88" i="8"/>
  <c r="U88" i="8"/>
  <c r="W88" i="8" s="1"/>
  <c r="AD87" i="8"/>
  <c r="AA87" i="8"/>
  <c r="AB87" i="8" s="1"/>
  <c r="AC87" i="8" s="1"/>
  <c r="Z87" i="8"/>
  <c r="Y87" i="8"/>
  <c r="V87" i="8"/>
  <c r="U87" i="8"/>
  <c r="X87" i="8"/>
  <c r="S88" i="8"/>
  <c r="S87" i="8"/>
  <c r="AD146" i="8"/>
  <c r="AA29" i="8"/>
  <c r="Z29" i="8"/>
  <c r="Y29" i="8"/>
  <c r="AA30" i="8"/>
  <c r="Z30" i="8"/>
  <c r="Y30" i="8"/>
  <c r="V30" i="8"/>
  <c r="U30" i="8"/>
  <c r="V29" i="8"/>
  <c r="U29" i="8"/>
  <c r="Z195" i="8"/>
  <c r="S84" i="8"/>
  <c r="S82" i="8"/>
  <c r="S67" i="8"/>
  <c r="S66" i="8"/>
  <c r="S58" i="8"/>
  <c r="S51" i="8"/>
  <c r="S40" i="8"/>
  <c r="S35" i="8"/>
  <c r="S32" i="8"/>
  <c r="S31" i="8"/>
  <c r="S30" i="8"/>
  <c r="S29" i="8"/>
  <c r="S27" i="8"/>
  <c r="S24" i="8"/>
  <c r="S9" i="8"/>
  <c r="S8" i="8"/>
  <c r="S3" i="8"/>
  <c r="H118" i="2"/>
  <c r="AB257" i="8"/>
  <c r="AC257" i="8" s="1"/>
  <c r="AA257" i="8"/>
  <c r="Z257" i="8"/>
  <c r="Y257" i="8"/>
  <c r="V257" i="8"/>
  <c r="X257" i="8" s="1"/>
  <c r="U257" i="8"/>
  <c r="AD255" i="8"/>
  <c r="AA255" i="8"/>
  <c r="Z255" i="8"/>
  <c r="Y255" i="8"/>
  <c r="V255" i="8"/>
  <c r="X255" i="8" s="1"/>
  <c r="U255" i="8"/>
  <c r="W255" i="8"/>
  <c r="AD248" i="8"/>
  <c r="AA248" i="8"/>
  <c r="Z248" i="8"/>
  <c r="Y248" i="8"/>
  <c r="V248" i="8"/>
  <c r="U248" i="8"/>
  <c r="AB248" i="8"/>
  <c r="AC248" i="8" s="1"/>
  <c r="X248" i="8"/>
  <c r="W248" i="8"/>
  <c r="AA247" i="8"/>
  <c r="Z247" i="8"/>
  <c r="AD247" i="8" s="1"/>
  <c r="Y247" i="8"/>
  <c r="V247" i="8"/>
  <c r="U247" i="8"/>
  <c r="X247" i="8"/>
  <c r="AD246" i="8"/>
  <c r="AA246" i="8"/>
  <c r="Z246" i="8"/>
  <c r="Y246" i="8"/>
  <c r="V246" i="8"/>
  <c r="U246" i="8"/>
  <c r="AB246" i="8"/>
  <c r="AC246" i="8" s="1"/>
  <c r="X246" i="8"/>
  <c r="AA243" i="8"/>
  <c r="Z243" i="8"/>
  <c r="Y243" i="8"/>
  <c r="AD243" i="8" s="1"/>
  <c r="V243" i="8"/>
  <c r="U243" i="8"/>
  <c r="AD237" i="8"/>
  <c r="AD235" i="8"/>
  <c r="AA235" i="8"/>
  <c r="AB235" i="8" s="1"/>
  <c r="AC235" i="8" s="1"/>
  <c r="Z235" i="8"/>
  <c r="Y235" i="8"/>
  <c r="V235" i="8"/>
  <c r="X235" i="8" s="1"/>
  <c r="U235" i="8"/>
  <c r="AD234" i="8"/>
  <c r="AA234" i="8"/>
  <c r="AB234" i="8" s="1"/>
  <c r="AC234" i="8" s="1"/>
  <c r="Z234" i="8"/>
  <c r="Y234" i="8"/>
  <c r="V234" i="8"/>
  <c r="U234" i="8"/>
  <c r="X234" i="8"/>
  <c r="AD230" i="8"/>
  <c r="AA230" i="8"/>
  <c r="Z230" i="8"/>
  <c r="Y230" i="8"/>
  <c r="V230" i="8"/>
  <c r="U230" i="8"/>
  <c r="X230" i="8" s="1"/>
  <c r="AB230" i="8"/>
  <c r="AC230" i="8" s="1"/>
  <c r="AD228" i="8"/>
  <c r="AA228" i="8"/>
  <c r="AB228" i="8" s="1"/>
  <c r="AC228" i="8" s="1"/>
  <c r="Z228" i="8"/>
  <c r="Y228" i="8"/>
  <c r="V228" i="8"/>
  <c r="U228" i="8"/>
  <c r="X228" i="8" s="1"/>
  <c r="W228" i="8"/>
  <c r="AD225" i="8"/>
  <c r="AA225" i="8"/>
  <c r="Z225" i="8"/>
  <c r="Y225" i="8"/>
  <c r="V225" i="8"/>
  <c r="U225" i="8"/>
  <c r="AB225" i="8"/>
  <c r="AC225" i="8" s="1"/>
  <c r="X225" i="8"/>
  <c r="AD224" i="8"/>
  <c r="AA224" i="8"/>
  <c r="Z224" i="8"/>
  <c r="Y224" i="8"/>
  <c r="V224" i="8"/>
  <c r="U224" i="8"/>
  <c r="AB224" i="8"/>
  <c r="AC224" i="8" s="1"/>
  <c r="AD220" i="8"/>
  <c r="AA220" i="8"/>
  <c r="AB220" i="8" s="1"/>
  <c r="AC220" i="8" s="1"/>
  <c r="Z220" i="8"/>
  <c r="Y220" i="8"/>
  <c r="V220" i="8"/>
  <c r="U220" i="8"/>
  <c r="X220" i="8" s="1"/>
  <c r="W220" i="8"/>
  <c r="AD219" i="8"/>
  <c r="AA219" i="8"/>
  <c r="AB219" i="8" s="1"/>
  <c r="AC219" i="8" s="1"/>
  <c r="Z219" i="8"/>
  <c r="Y219" i="8"/>
  <c r="V219" i="8"/>
  <c r="W219" i="8" s="1"/>
  <c r="U219" i="8"/>
  <c r="AD218" i="8"/>
  <c r="AA218" i="8"/>
  <c r="Z218" i="8"/>
  <c r="Y218" i="8"/>
  <c r="V218" i="8"/>
  <c r="X218" i="8" s="1"/>
  <c r="U218" i="8"/>
  <c r="W218" i="8" s="1"/>
  <c r="AD217" i="8"/>
  <c r="AA217" i="8"/>
  <c r="AB217" i="8" s="1"/>
  <c r="AC217" i="8" s="1"/>
  <c r="Z217" i="8"/>
  <c r="Y217" i="8"/>
  <c r="V217" i="8"/>
  <c r="W217" i="8" s="1"/>
  <c r="U217" i="8"/>
  <c r="AD216" i="8"/>
  <c r="AA216" i="8"/>
  <c r="AB216" i="8" s="1"/>
  <c r="AC216" i="8" s="1"/>
  <c r="Z216" i="8"/>
  <c r="Y216" i="8"/>
  <c r="V216" i="8"/>
  <c r="U216" i="8"/>
  <c r="W216" i="8" s="1"/>
  <c r="X216" i="8"/>
  <c r="AD210" i="8"/>
  <c r="AA210" i="8"/>
  <c r="Z210" i="8"/>
  <c r="Y210" i="8"/>
  <c r="V210" i="8"/>
  <c r="U210" i="8"/>
  <c r="X210" i="8" s="1"/>
  <c r="AA209" i="8"/>
  <c r="Z209" i="8"/>
  <c r="Y209" i="8"/>
  <c r="AD209" i="8" s="1"/>
  <c r="V209" i="8"/>
  <c r="U209" i="8"/>
  <c r="AD208" i="8"/>
  <c r="AA208" i="8"/>
  <c r="AB208" i="8" s="1"/>
  <c r="AC208" i="8" s="1"/>
  <c r="Z208" i="8"/>
  <c r="Y208" i="8"/>
  <c r="V208" i="8"/>
  <c r="W208" i="8" s="1"/>
  <c r="U208" i="8"/>
  <c r="AD207" i="8"/>
  <c r="AA207" i="8"/>
  <c r="Z207" i="8"/>
  <c r="Y207" i="8"/>
  <c r="V207" i="8"/>
  <c r="U207" i="8"/>
  <c r="AB207" i="8"/>
  <c r="AC207" i="8" s="1"/>
  <c r="AD206" i="8"/>
  <c r="AA206" i="8"/>
  <c r="AB206" i="8" s="1"/>
  <c r="AC206" i="8" s="1"/>
  <c r="Z206" i="8"/>
  <c r="Y206" i="8"/>
  <c r="V206" i="8"/>
  <c r="U206" i="8"/>
  <c r="AB204" i="8"/>
  <c r="AC204" i="8" s="1"/>
  <c r="AA204" i="8"/>
  <c r="Z204" i="8"/>
  <c r="Y204" i="8"/>
  <c r="X204" i="8"/>
  <c r="V204" i="8"/>
  <c r="U204" i="8"/>
  <c r="W204" i="8" s="1"/>
  <c r="AA203" i="8"/>
  <c r="AB203" i="8" s="1"/>
  <c r="AC203" i="8" s="1"/>
  <c r="Z203" i="8"/>
  <c r="Y203" i="8"/>
  <c r="V203" i="8"/>
  <c r="X203" i="8" s="1"/>
  <c r="U203" i="8"/>
  <c r="AD202" i="8"/>
  <c r="AA202" i="8"/>
  <c r="Z202" i="8"/>
  <c r="Y202" i="8"/>
  <c r="V202" i="8"/>
  <c r="U202" i="8"/>
  <c r="AB202" i="8"/>
  <c r="AC202" i="8" s="1"/>
  <c r="X202" i="8"/>
  <c r="AD198" i="8"/>
  <c r="AA198" i="8"/>
  <c r="Z198" i="8"/>
  <c r="Y198" i="8"/>
  <c r="V198" i="8"/>
  <c r="U198" i="8"/>
  <c r="AB198" i="8"/>
  <c r="AC198" i="8" s="1"/>
  <c r="X198" i="8"/>
  <c r="AD197" i="8"/>
  <c r="AA197" i="8"/>
  <c r="Z197" i="8"/>
  <c r="Y197" i="8"/>
  <c r="V197" i="8"/>
  <c r="W197" i="8" s="1"/>
  <c r="U197" i="8"/>
  <c r="X197" i="8" s="1"/>
  <c r="AA195" i="8"/>
  <c r="Y195" i="8"/>
  <c r="AD195" i="8" s="1"/>
  <c r="V195" i="8"/>
  <c r="U195" i="8"/>
  <c r="AD194" i="8"/>
  <c r="AA194" i="8"/>
  <c r="AB194" i="8" s="1"/>
  <c r="AC194" i="8" s="1"/>
  <c r="Z194" i="8"/>
  <c r="Y194" i="8"/>
  <c r="V194" i="8"/>
  <c r="X194" i="8" s="1"/>
  <c r="U194" i="8"/>
  <c r="AD192" i="8"/>
  <c r="AA192" i="8"/>
  <c r="Z192" i="8"/>
  <c r="Y192" i="8"/>
  <c r="V192" i="8"/>
  <c r="U192" i="8"/>
  <c r="W192" i="8" s="1"/>
  <c r="AD191" i="8"/>
  <c r="AA191" i="8"/>
  <c r="Z191" i="8"/>
  <c r="Y191" i="8"/>
  <c r="V191" i="8"/>
  <c r="U191" i="8"/>
  <c r="W191" i="8" s="1"/>
  <c r="AA190" i="8"/>
  <c r="Z190" i="8"/>
  <c r="AD190" i="8" s="1"/>
  <c r="Y190" i="8"/>
  <c r="AB190" i="8" s="1"/>
  <c r="AC190" i="8" s="1"/>
  <c r="V190" i="8"/>
  <c r="U190" i="8"/>
  <c r="AD189" i="8"/>
  <c r="AA189" i="8"/>
  <c r="AB189" i="8" s="1"/>
  <c r="AC189" i="8" s="1"/>
  <c r="Z189" i="8"/>
  <c r="Y189" i="8"/>
  <c r="V189" i="8"/>
  <c r="W189" i="8" s="1"/>
  <c r="U189" i="8"/>
  <c r="AD187" i="8"/>
  <c r="AA187" i="8"/>
  <c r="Z187" i="8"/>
  <c r="Y187" i="8"/>
  <c r="V187" i="8"/>
  <c r="W187" i="8" s="1"/>
  <c r="U187" i="8"/>
  <c r="AD186" i="8"/>
  <c r="AA186" i="8"/>
  <c r="AB186" i="8" s="1"/>
  <c r="AC186" i="8" s="1"/>
  <c r="Z186" i="8"/>
  <c r="Y186" i="8"/>
  <c r="V186" i="8"/>
  <c r="U186" i="8"/>
  <c r="X186" i="8" s="1"/>
  <c r="AD182" i="8"/>
  <c r="AA182" i="8"/>
  <c r="Z182" i="8"/>
  <c r="Y182" i="8"/>
  <c r="V182" i="8"/>
  <c r="X182" i="8" s="1"/>
  <c r="U182" i="8"/>
  <c r="AD181" i="8"/>
  <c r="AA181" i="8"/>
  <c r="AB181" i="8" s="1"/>
  <c r="AC181" i="8" s="1"/>
  <c r="Z181" i="8"/>
  <c r="Y181" i="8"/>
  <c r="V181" i="8"/>
  <c r="X181" i="8" s="1"/>
  <c r="U181" i="8"/>
  <c r="AD180" i="8"/>
  <c r="AA180" i="8"/>
  <c r="Z180" i="8"/>
  <c r="Y180" i="8"/>
  <c r="V180" i="8"/>
  <c r="U180" i="8"/>
  <c r="AD175" i="8"/>
  <c r="AA175" i="8"/>
  <c r="AB175" i="8" s="1"/>
  <c r="AC175" i="8" s="1"/>
  <c r="Z175" i="8"/>
  <c r="Y175" i="8"/>
  <c r="V175" i="8"/>
  <c r="U175" i="8"/>
  <c r="AD173" i="8"/>
  <c r="AA173" i="8"/>
  <c r="Z173" i="8"/>
  <c r="Y173" i="8"/>
  <c r="V173" i="8"/>
  <c r="X173" i="8" s="1"/>
  <c r="U173" i="8"/>
  <c r="AB173" i="8"/>
  <c r="AC173" i="8" s="1"/>
  <c r="AD172" i="8"/>
  <c r="AB172" i="8"/>
  <c r="AC172" i="8" s="1"/>
  <c r="AA172" i="8"/>
  <c r="Z172" i="8"/>
  <c r="Y172" i="8"/>
  <c r="X172" i="8"/>
  <c r="V172" i="8"/>
  <c r="U172" i="8"/>
  <c r="W172" i="8" s="1"/>
  <c r="AD171" i="8"/>
  <c r="AA171" i="8"/>
  <c r="Z171" i="8"/>
  <c r="Y171" i="8"/>
  <c r="V171" i="8"/>
  <c r="X171" i="8" s="1"/>
  <c r="U171" i="8"/>
  <c r="AD169" i="8"/>
  <c r="AA169" i="8"/>
  <c r="Z169" i="8"/>
  <c r="Y169" i="8"/>
  <c r="V169" i="8"/>
  <c r="U169" i="8"/>
  <c r="X169" i="8" s="1"/>
  <c r="AD167" i="8"/>
  <c r="AA168" i="8"/>
  <c r="Z168" i="8"/>
  <c r="Y168" i="8"/>
  <c r="V168" i="8"/>
  <c r="U168" i="8"/>
  <c r="AD165" i="8"/>
  <c r="Y165" i="8"/>
  <c r="Z165" i="8"/>
  <c r="V165" i="8"/>
  <c r="X165" i="8" s="1"/>
  <c r="U165" i="8"/>
  <c r="AA165" i="8"/>
  <c r="AD163" i="8"/>
  <c r="AA163" i="8"/>
  <c r="AB163" i="8" s="1"/>
  <c r="AC163" i="8" s="1"/>
  <c r="Z163" i="8"/>
  <c r="Y163" i="8"/>
  <c r="V163" i="8"/>
  <c r="X163" i="8" s="1"/>
  <c r="U163" i="8"/>
  <c r="AD162" i="8"/>
  <c r="AA162" i="8"/>
  <c r="AB162" i="8" s="1"/>
  <c r="AC162" i="8" s="1"/>
  <c r="Z162" i="8"/>
  <c r="Y162" i="8"/>
  <c r="V162" i="8"/>
  <c r="U162" i="8"/>
  <c r="AD161" i="8"/>
  <c r="AA161" i="8"/>
  <c r="AB161" i="8" s="1"/>
  <c r="AC161" i="8" s="1"/>
  <c r="Z161" i="8"/>
  <c r="Y161" i="8"/>
  <c r="V161" i="8"/>
  <c r="U161" i="8"/>
  <c r="AD159" i="8"/>
  <c r="AA159" i="8"/>
  <c r="Z159" i="8"/>
  <c r="Y159" i="8"/>
  <c r="V159" i="8"/>
  <c r="U159" i="8"/>
  <c r="AD157" i="8"/>
  <c r="AA157" i="8"/>
  <c r="Z157" i="8"/>
  <c r="Y157" i="8"/>
  <c r="V157" i="8"/>
  <c r="X157" i="8" s="1"/>
  <c r="U157" i="8"/>
  <c r="AA156" i="8"/>
  <c r="Z156" i="8"/>
  <c r="Y156" i="8"/>
  <c r="AD156" i="8" s="1"/>
  <c r="V156" i="8"/>
  <c r="U156" i="8"/>
  <c r="AD155" i="8"/>
  <c r="AA155" i="8"/>
  <c r="Z155" i="8"/>
  <c r="Y155" i="8"/>
  <c r="V155" i="8"/>
  <c r="U155" i="8"/>
  <c r="AD152" i="8"/>
  <c r="AA152" i="8"/>
  <c r="Z152" i="8"/>
  <c r="Y152" i="8"/>
  <c r="V152" i="8"/>
  <c r="U152" i="8"/>
  <c r="X152" i="8" s="1"/>
  <c r="AD151" i="8"/>
  <c r="AA151" i="8"/>
  <c r="Z151" i="8"/>
  <c r="Y151" i="8"/>
  <c r="V151" i="8"/>
  <c r="W151" i="8" s="1"/>
  <c r="U151" i="8"/>
  <c r="AD150" i="8"/>
  <c r="AA150" i="8"/>
  <c r="Z150" i="8"/>
  <c r="Y150" i="8"/>
  <c r="V150" i="8"/>
  <c r="W150" i="8" s="1"/>
  <c r="U150" i="8"/>
  <c r="AD148" i="8"/>
  <c r="AA148" i="8"/>
  <c r="Z148" i="8"/>
  <c r="Y148" i="8"/>
  <c r="V148" i="8"/>
  <c r="X148" i="8" s="1"/>
  <c r="U148" i="8"/>
  <c r="W148" i="8" s="1"/>
  <c r="AD147" i="8"/>
  <c r="AD145" i="8"/>
  <c r="AA145" i="8"/>
  <c r="Z145" i="8"/>
  <c r="Y145" i="8"/>
  <c r="V145" i="8"/>
  <c r="U145" i="8"/>
  <c r="AA140" i="8"/>
  <c r="Z140" i="8"/>
  <c r="Y140" i="8"/>
  <c r="AD140" i="8" s="1"/>
  <c r="V140" i="8"/>
  <c r="U140" i="8"/>
  <c r="AA139" i="8"/>
  <c r="Z139" i="8"/>
  <c r="Y139" i="8"/>
  <c r="AD139" i="8" s="1"/>
  <c r="V139" i="8"/>
  <c r="U139" i="8"/>
  <c r="AA137" i="8"/>
  <c r="Z137" i="8"/>
  <c r="Y137" i="8"/>
  <c r="AD137" i="8" s="1"/>
  <c r="V137" i="8"/>
  <c r="U137" i="8"/>
  <c r="Z136" i="8"/>
  <c r="Y136" i="8"/>
  <c r="AD136" i="8" s="1"/>
  <c r="V136" i="8"/>
  <c r="U136" i="8"/>
  <c r="AA136" i="8"/>
  <c r="AA131" i="8"/>
  <c r="Z131" i="8"/>
  <c r="Y131" i="8"/>
  <c r="AD131" i="8" s="1"/>
  <c r="U131" i="8"/>
  <c r="V131" i="8"/>
  <c r="AA130" i="8"/>
  <c r="Z130" i="8"/>
  <c r="Y130" i="8"/>
  <c r="AD130" i="8" s="1"/>
  <c r="V130" i="8"/>
  <c r="U130" i="8"/>
  <c r="AA129" i="8"/>
  <c r="Z129" i="8"/>
  <c r="Y129" i="8"/>
  <c r="AD129" i="8" s="1"/>
  <c r="V129" i="8"/>
  <c r="U129" i="8"/>
  <c r="AA128" i="8"/>
  <c r="Z128" i="8"/>
  <c r="Y128" i="8"/>
  <c r="AD128" i="8" s="1"/>
  <c r="V128" i="8"/>
  <c r="U128" i="8"/>
  <c r="AD127" i="8"/>
  <c r="AA127" i="8"/>
  <c r="Z127" i="8"/>
  <c r="Y127" i="8"/>
  <c r="V127" i="8"/>
  <c r="U127" i="8"/>
  <c r="AA126" i="8"/>
  <c r="Z126" i="8"/>
  <c r="Y126" i="8"/>
  <c r="AD126" i="8" s="1"/>
  <c r="V126" i="8"/>
  <c r="U126" i="8"/>
  <c r="V124" i="8"/>
  <c r="U124" i="8"/>
  <c r="AA124" i="8"/>
  <c r="Z124" i="8"/>
  <c r="AD124" i="8" s="1"/>
  <c r="Y124" i="8"/>
  <c r="AA123" i="8"/>
  <c r="Z123" i="8"/>
  <c r="Y123" i="8"/>
  <c r="AD123" i="8" s="1"/>
  <c r="V123" i="8"/>
  <c r="U123" i="8"/>
  <c r="AA122" i="8"/>
  <c r="Z122" i="8"/>
  <c r="Y122" i="8"/>
  <c r="AD122" i="8" s="1"/>
  <c r="V122" i="8"/>
  <c r="U122" i="8"/>
  <c r="AA121" i="8"/>
  <c r="Z121" i="8"/>
  <c r="Y121" i="8"/>
  <c r="AD121" i="8" s="1"/>
  <c r="V121" i="8"/>
  <c r="U121" i="8"/>
  <c r="AB6" i="8" l="1"/>
  <c r="AC6" i="8" s="1"/>
  <c r="W6" i="8"/>
  <c r="AB247" i="8"/>
  <c r="AC247" i="8" s="1"/>
  <c r="AB243" i="8"/>
  <c r="AC243" i="8" s="1"/>
  <c r="AB195" i="8"/>
  <c r="AC195" i="8" s="1"/>
  <c r="W87" i="8"/>
  <c r="W210" i="8"/>
  <c r="AB209" i="8"/>
  <c r="AC209" i="8" s="1"/>
  <c r="X209" i="8"/>
  <c r="X195" i="8"/>
  <c r="W190" i="8"/>
  <c r="X190" i="8"/>
  <c r="W257" i="8"/>
  <c r="AB255" i="8"/>
  <c r="AC255" i="8" s="1"/>
  <c r="W247" i="8"/>
  <c r="W246" i="8"/>
  <c r="X243" i="8"/>
  <c r="W243" i="8"/>
  <c r="W235" i="8"/>
  <c r="W234" i="8"/>
  <c r="W230" i="8"/>
  <c r="W225" i="8"/>
  <c r="X224" i="8"/>
  <c r="W224" i="8"/>
  <c r="X219" i="8"/>
  <c r="AB218" i="8"/>
  <c r="AC218" i="8" s="1"/>
  <c r="X217" i="8"/>
  <c r="AB210" i="8"/>
  <c r="AC210" i="8" s="1"/>
  <c r="W209" i="8"/>
  <c r="X208" i="8"/>
  <c r="X207" i="8"/>
  <c r="W207" i="8"/>
  <c r="X206" i="8"/>
  <c r="W206" i="8"/>
  <c r="W203" i="8"/>
  <c r="W202" i="8"/>
  <c r="W198" i="8"/>
  <c r="AB197" i="8"/>
  <c r="AC197" i="8" s="1"/>
  <c r="W195" i="8"/>
  <c r="W194" i="8"/>
  <c r="AB192" i="8"/>
  <c r="AC192" i="8" s="1"/>
  <c r="X192" i="8"/>
  <c r="AB191" i="8"/>
  <c r="AC191" i="8" s="1"/>
  <c r="X191" i="8"/>
  <c r="X189" i="8"/>
  <c r="AB187" i="8"/>
  <c r="AC187" i="8" s="1"/>
  <c r="X187" i="8"/>
  <c r="W186" i="8"/>
  <c r="AB182" i="8"/>
  <c r="AC182" i="8" s="1"/>
  <c r="W182" i="8"/>
  <c r="W181" i="8"/>
  <c r="AB180" i="8"/>
  <c r="AC180" i="8" s="1"/>
  <c r="X180" i="8"/>
  <c r="W180" i="8"/>
  <c r="X175" i="8"/>
  <c r="W175" i="8"/>
  <c r="W173" i="8"/>
  <c r="AB171" i="8"/>
  <c r="AC171" i="8" s="1"/>
  <c r="W171" i="8"/>
  <c r="AB169" i="8"/>
  <c r="AC169" i="8" s="1"/>
  <c r="W169" i="8"/>
  <c r="AB168" i="8"/>
  <c r="AC168" i="8" s="1"/>
  <c r="X168" i="8"/>
  <c r="W168" i="8"/>
  <c r="AB165" i="8"/>
  <c r="AC165" i="8" s="1"/>
  <c r="W165" i="8"/>
  <c r="W163" i="8"/>
  <c r="X162" i="8"/>
  <c r="W162" i="8"/>
  <c r="X161" i="8"/>
  <c r="W161" i="8"/>
  <c r="AB159" i="8"/>
  <c r="AC159" i="8" s="1"/>
  <c r="W159" i="8"/>
  <c r="X159" i="8"/>
  <c r="AB157" i="8"/>
  <c r="AC157" i="8" s="1"/>
  <c r="W157" i="8"/>
  <c r="AB156" i="8"/>
  <c r="AC156" i="8" s="1"/>
  <c r="X156" i="8"/>
  <c r="W156" i="8"/>
  <c r="AB155" i="8"/>
  <c r="AC155" i="8" s="1"/>
  <c r="W155" i="8"/>
  <c r="X155" i="8"/>
  <c r="AB152" i="8"/>
  <c r="AC152" i="8" s="1"/>
  <c r="W152" i="8"/>
  <c r="AB151" i="8"/>
  <c r="AC151" i="8" s="1"/>
  <c r="X151" i="8"/>
  <c r="AB150" i="8"/>
  <c r="AC150" i="8" s="1"/>
  <c r="X150" i="8"/>
  <c r="AB148" i="8"/>
  <c r="AC148" i="8" s="1"/>
  <c r="AB137" i="8"/>
  <c r="AC137" i="8" s="1"/>
  <c r="W130" i="8"/>
  <c r="X128" i="8"/>
  <c r="AB121" i="8"/>
  <c r="AC121" i="8" s="1"/>
  <c r="X136" i="8"/>
  <c r="AB124" i="8"/>
  <c r="AC124" i="8" s="1"/>
  <c r="X131" i="8"/>
  <c r="AB145" i="8"/>
  <c r="AC145" i="8" s="1"/>
  <c r="X123" i="8"/>
  <c r="X127" i="8"/>
  <c r="X137" i="8"/>
  <c r="X140" i="8"/>
  <c r="X145" i="8"/>
  <c r="X122" i="8"/>
  <c r="X130" i="8"/>
  <c r="X139" i="8"/>
  <c r="W145" i="8"/>
  <c r="AB140" i="8"/>
  <c r="AC140" i="8" s="1"/>
  <c r="W140" i="8"/>
  <c r="AB139" i="8"/>
  <c r="AC139" i="8" s="1"/>
  <c r="W139" i="8"/>
  <c r="W137" i="8"/>
  <c r="AB136" i="8"/>
  <c r="AC136" i="8" s="1"/>
  <c r="W136" i="8"/>
  <c r="AB131" i="8"/>
  <c r="AC131" i="8" s="1"/>
  <c r="W131" i="8"/>
  <c r="AB130" i="8"/>
  <c r="AC130" i="8" s="1"/>
  <c r="AB129" i="8"/>
  <c r="AC129" i="8" s="1"/>
  <c r="X129" i="8"/>
  <c r="W129" i="8"/>
  <c r="AB128" i="8"/>
  <c r="AC128" i="8" s="1"/>
  <c r="W128" i="8"/>
  <c r="AB127" i="8"/>
  <c r="AC127" i="8" s="1"/>
  <c r="W127" i="8"/>
  <c r="X126" i="8"/>
  <c r="AB126" i="8"/>
  <c r="AC126" i="8" s="1"/>
  <c r="W126" i="8"/>
  <c r="X124" i="8"/>
  <c r="W124" i="8"/>
  <c r="AB123" i="8"/>
  <c r="AC123" i="8" s="1"/>
  <c r="W123" i="8"/>
  <c r="AB122" i="8"/>
  <c r="AC122" i="8" s="1"/>
  <c r="W122" i="8"/>
  <c r="W121" i="8"/>
  <c r="X121" i="8"/>
  <c r="AA112" i="8"/>
  <c r="Z112" i="8"/>
  <c r="Y112" i="8"/>
  <c r="AD112" i="8" s="1"/>
  <c r="V112" i="8"/>
  <c r="U112" i="8"/>
  <c r="AA110" i="8"/>
  <c r="Z110" i="8"/>
  <c r="Y110" i="8"/>
  <c r="AD110" i="8" s="1"/>
  <c r="V110" i="8"/>
  <c r="U110" i="8"/>
  <c r="AA105" i="8"/>
  <c r="Z105" i="8"/>
  <c r="Y105" i="8"/>
  <c r="AD105" i="8" s="1"/>
  <c r="V105" i="8"/>
  <c r="U105" i="8"/>
  <c r="AA104" i="8"/>
  <c r="Z104" i="8"/>
  <c r="Y104" i="8"/>
  <c r="AD104" i="8" s="1"/>
  <c r="V104" i="8"/>
  <c r="U104" i="8"/>
  <c r="AD96" i="8"/>
  <c r="AA96" i="8"/>
  <c r="Z96" i="8"/>
  <c r="Y96" i="8"/>
  <c r="V96" i="8"/>
  <c r="U96" i="8"/>
  <c r="AA92" i="8"/>
  <c r="Z92" i="8"/>
  <c r="Y92" i="8"/>
  <c r="AD92" i="8" s="1"/>
  <c r="V92" i="8"/>
  <c r="U92" i="8"/>
  <c r="X92" i="8" s="1"/>
  <c r="AA90" i="8"/>
  <c r="Z90" i="8"/>
  <c r="Y90" i="8"/>
  <c r="AD90" i="8" s="1"/>
  <c r="V90" i="8"/>
  <c r="U90" i="8"/>
  <c r="AA84" i="8"/>
  <c r="Z84" i="8"/>
  <c r="AD84" i="8" s="1"/>
  <c r="Y84" i="8"/>
  <c r="V84" i="8"/>
  <c r="U84" i="8"/>
  <c r="AA82" i="8"/>
  <c r="Z82" i="8"/>
  <c r="AD82" i="8" s="1"/>
  <c r="Y82" i="8"/>
  <c r="V82" i="8"/>
  <c r="U82" i="8"/>
  <c r="AA74" i="8"/>
  <c r="Z74" i="8"/>
  <c r="AD74" i="8" s="1"/>
  <c r="Y74" i="8"/>
  <c r="V74" i="8"/>
  <c r="U74" i="8"/>
  <c r="AA72" i="8"/>
  <c r="Z72" i="8"/>
  <c r="AD72" i="8" s="1"/>
  <c r="Y72" i="8"/>
  <c r="V72" i="8"/>
  <c r="U72" i="8"/>
  <c r="AA71" i="8"/>
  <c r="AB71" i="8" s="1"/>
  <c r="AC71" i="8" s="1"/>
  <c r="Z71" i="8"/>
  <c r="Y71" i="8"/>
  <c r="AD71" i="8" s="1"/>
  <c r="V71" i="8"/>
  <c r="U71" i="8"/>
  <c r="AD69" i="8"/>
  <c r="Z66" i="8"/>
  <c r="Y66" i="8"/>
  <c r="AD66" i="8" s="1"/>
  <c r="V66" i="8"/>
  <c r="U66" i="8"/>
  <c r="AA66" i="8"/>
  <c r="AD65" i="8"/>
  <c r="AA65" i="8"/>
  <c r="Z65" i="8"/>
  <c r="Y65" i="8"/>
  <c r="V65" i="8"/>
  <c r="U65" i="8"/>
  <c r="AA64" i="8"/>
  <c r="Z64" i="8"/>
  <c r="Y64" i="8"/>
  <c r="AD64" i="8" s="1"/>
  <c r="V64" i="8"/>
  <c r="U64" i="8"/>
  <c r="AA63" i="8"/>
  <c r="Z63" i="8"/>
  <c r="Y63" i="8"/>
  <c r="AD63" i="8" s="1"/>
  <c r="V63" i="8"/>
  <c r="U63" i="8"/>
  <c r="AA62" i="8"/>
  <c r="Z62" i="8"/>
  <c r="Y62" i="8"/>
  <c r="AD62" i="8" s="1"/>
  <c r="V62" i="8"/>
  <c r="U62" i="8"/>
  <c r="AA61" i="8"/>
  <c r="Z61" i="8"/>
  <c r="Y61" i="8"/>
  <c r="AD61" i="8" s="1"/>
  <c r="V61" i="8"/>
  <c r="U61" i="8"/>
  <c r="AA59" i="8"/>
  <c r="Z59" i="8"/>
  <c r="Y59" i="8"/>
  <c r="AD59" i="8" s="1"/>
  <c r="V59" i="8"/>
  <c r="U59" i="8"/>
  <c r="AA57" i="8"/>
  <c r="Z57" i="8"/>
  <c r="Y57" i="8"/>
  <c r="AD57" i="8" s="1"/>
  <c r="V57" i="8"/>
  <c r="U57" i="8"/>
  <c r="AA56" i="8"/>
  <c r="Z56" i="8"/>
  <c r="AD56" i="8" s="1"/>
  <c r="Y56" i="8"/>
  <c r="V56" i="8"/>
  <c r="U56" i="8"/>
  <c r="AA53" i="8"/>
  <c r="Z53" i="8"/>
  <c r="Y53" i="8"/>
  <c r="AD53" i="8" s="1"/>
  <c r="V53" i="8"/>
  <c r="U53" i="8"/>
  <c r="AA52" i="8"/>
  <c r="Z52" i="8"/>
  <c r="AD52" i="8" s="1"/>
  <c r="Y52" i="8"/>
  <c r="V52" i="8"/>
  <c r="U52" i="8"/>
  <c r="AA51" i="8"/>
  <c r="Z51" i="8"/>
  <c r="Y51" i="8"/>
  <c r="AD51" i="8" s="1"/>
  <c r="V51" i="8"/>
  <c r="U51" i="8"/>
  <c r="AA49" i="8"/>
  <c r="Z49" i="8"/>
  <c r="Y49" i="8"/>
  <c r="AD49" i="8" s="1"/>
  <c r="V49" i="8"/>
  <c r="U49" i="8"/>
  <c r="AA47" i="8"/>
  <c r="Z47" i="8"/>
  <c r="Y47" i="8"/>
  <c r="AD47" i="8" s="1"/>
  <c r="V47" i="8"/>
  <c r="U47" i="8"/>
  <c r="AA46" i="8"/>
  <c r="Z46" i="8"/>
  <c r="AD46" i="8" s="1"/>
  <c r="Y46" i="8"/>
  <c r="V46" i="8"/>
  <c r="U46" i="8"/>
  <c r="X46" i="8" s="1"/>
  <c r="AD43" i="8"/>
  <c r="AA40" i="8"/>
  <c r="Z40" i="8"/>
  <c r="Y40" i="8"/>
  <c r="AD40" i="8" s="1"/>
  <c r="V40" i="8"/>
  <c r="U40" i="8"/>
  <c r="AA35" i="8"/>
  <c r="Z35" i="8"/>
  <c r="Y35" i="8"/>
  <c r="AD35" i="8" s="1"/>
  <c r="V35" i="8"/>
  <c r="U35" i="8"/>
  <c r="AA32" i="8"/>
  <c r="Z32" i="8"/>
  <c r="Y32" i="8"/>
  <c r="AD32" i="8" s="1"/>
  <c r="V32" i="8"/>
  <c r="U32" i="8"/>
  <c r="AA31" i="8"/>
  <c r="AB31" i="8" s="1"/>
  <c r="AC31" i="8" s="1"/>
  <c r="Z31" i="8"/>
  <c r="Y31" i="8"/>
  <c r="AD31" i="8" s="1"/>
  <c r="AD30" i="8"/>
  <c r="AA27" i="8"/>
  <c r="Z27" i="8"/>
  <c r="Y27" i="8"/>
  <c r="AD27" i="8" s="1"/>
  <c r="V27" i="8"/>
  <c r="U27" i="8"/>
  <c r="AA25" i="8"/>
  <c r="Z25" i="8"/>
  <c r="Y25" i="8"/>
  <c r="AD25" i="8" s="1"/>
  <c r="AA24" i="8"/>
  <c r="Z24" i="8"/>
  <c r="Y24" i="8"/>
  <c r="AD24" i="8" s="1"/>
  <c r="AA21" i="8"/>
  <c r="Z21" i="8"/>
  <c r="Y21" i="8"/>
  <c r="AD21" i="8" s="1"/>
  <c r="V21" i="8"/>
  <c r="U21" i="8"/>
  <c r="AA9" i="8"/>
  <c r="Z9" i="8"/>
  <c r="Y9" i="8"/>
  <c r="AD9" i="8" s="1"/>
  <c r="V9" i="8"/>
  <c r="U9" i="8"/>
  <c r="AA8" i="8"/>
  <c r="Z8" i="8"/>
  <c r="Y8" i="8"/>
  <c r="AD8" i="8" s="1"/>
  <c r="V8" i="8"/>
  <c r="U8" i="8"/>
  <c r="AA7" i="8"/>
  <c r="Z7" i="8"/>
  <c r="Y7" i="8"/>
  <c r="AD7" i="8" s="1"/>
  <c r="V7" i="8"/>
  <c r="U7" i="8"/>
  <c r="AA5" i="8"/>
  <c r="Z5" i="8"/>
  <c r="Y5" i="8"/>
  <c r="AD5" i="8" s="1"/>
  <c r="V5" i="8"/>
  <c r="U5" i="8"/>
  <c r="X5" i="8" s="1"/>
  <c r="AD3" i="8"/>
  <c r="V3" i="8"/>
  <c r="U3" i="8"/>
  <c r="AB30" i="8" l="1"/>
  <c r="AC30" i="8" s="1"/>
  <c r="X52" i="8"/>
  <c r="X110" i="8"/>
  <c r="X49" i="8"/>
  <c r="X105" i="8"/>
  <c r="X112" i="8"/>
  <c r="AB35" i="8"/>
  <c r="AC35" i="8" s="1"/>
  <c r="AB49" i="8"/>
  <c r="AC49" i="8" s="1"/>
  <c r="AB51" i="8"/>
  <c r="AC51" i="8" s="1"/>
  <c r="AB47" i="8"/>
  <c r="AC47" i="8" s="1"/>
  <c r="W74" i="8"/>
  <c r="AB74" i="8"/>
  <c r="AC74" i="8" s="1"/>
  <c r="AB84" i="8"/>
  <c r="AC84" i="8" s="1"/>
  <c r="X104" i="8"/>
  <c r="X61" i="8"/>
  <c r="X90" i="8"/>
  <c r="X56" i="8"/>
  <c r="X65" i="8"/>
  <c r="AB8" i="8"/>
  <c r="AC8" i="8" s="1"/>
  <c r="X9" i="8"/>
  <c r="X47" i="8"/>
  <c r="AB59" i="8"/>
  <c r="AC59" i="8" s="1"/>
  <c r="AB62" i="8"/>
  <c r="AC62" i="8" s="1"/>
  <c r="AB63" i="8"/>
  <c r="AC63" i="8" s="1"/>
  <c r="AB64" i="8"/>
  <c r="AC64" i="8" s="1"/>
  <c r="AB104" i="8"/>
  <c r="AC104" i="8" s="1"/>
  <c r="W56" i="8"/>
  <c r="AB40" i="8"/>
  <c r="AC40" i="8" s="1"/>
  <c r="AB57" i="8"/>
  <c r="AC57" i="8" s="1"/>
  <c r="X62" i="8"/>
  <c r="X64" i="8"/>
  <c r="AB72" i="8"/>
  <c r="AC72" i="8" s="1"/>
  <c r="X74" i="8"/>
  <c r="W104" i="8"/>
  <c r="X40" i="8"/>
  <c r="AB61" i="8"/>
  <c r="AC61" i="8" s="1"/>
  <c r="X66" i="8"/>
  <c r="X72" i="8"/>
  <c r="X82" i="8"/>
  <c r="AB96" i="8"/>
  <c r="AC96" i="8" s="1"/>
  <c r="AB105" i="8"/>
  <c r="AC105" i="8" s="1"/>
  <c r="X3" i="8"/>
  <c r="AB112" i="8"/>
  <c r="AC112" i="8" s="1"/>
  <c r="W112" i="8"/>
  <c r="AB110" i="8"/>
  <c r="AC110" i="8" s="1"/>
  <c r="W110" i="8"/>
  <c r="W105" i="8"/>
  <c r="W96" i="8"/>
  <c r="X96" i="8"/>
  <c r="AB92" i="8"/>
  <c r="AC92" i="8" s="1"/>
  <c r="W92" i="8"/>
  <c r="AB90" i="8"/>
  <c r="AC90" i="8" s="1"/>
  <c r="W90" i="8"/>
  <c r="X84" i="8"/>
  <c r="W84" i="8"/>
  <c r="AB82" i="8"/>
  <c r="AC82" i="8" s="1"/>
  <c r="W82" i="8"/>
  <c r="W72" i="8"/>
  <c r="W71" i="8"/>
  <c r="X71" i="8"/>
  <c r="AB66" i="8"/>
  <c r="AC66" i="8" s="1"/>
  <c r="W66" i="8"/>
  <c r="AB65" i="8"/>
  <c r="AC65" i="8" s="1"/>
  <c r="W65" i="8"/>
  <c r="W64" i="8"/>
  <c r="W63" i="8"/>
  <c r="X63" i="8"/>
  <c r="W62" i="8"/>
  <c r="W61" i="8"/>
  <c r="X59" i="8"/>
  <c r="W59" i="8"/>
  <c r="X57" i="8"/>
  <c r="W57" i="8"/>
  <c r="AB56" i="8"/>
  <c r="AC56" i="8" s="1"/>
  <c r="AB53" i="8"/>
  <c r="AC53" i="8" s="1"/>
  <c r="X53" i="8"/>
  <c r="W53" i="8"/>
  <c r="AB52" i="8"/>
  <c r="AC52" i="8" s="1"/>
  <c r="W52" i="8"/>
  <c r="W51" i="8"/>
  <c r="X51" i="8"/>
  <c r="W49" i="8"/>
  <c r="W47" i="8"/>
  <c r="AB46" i="8"/>
  <c r="AC46" i="8" s="1"/>
  <c r="W46" i="8"/>
  <c r="W40" i="8"/>
  <c r="X35" i="8"/>
  <c r="W35" i="8"/>
  <c r="AB32" i="8"/>
  <c r="AC32" i="8" s="1"/>
  <c r="W32" i="8"/>
  <c r="X32" i="8"/>
  <c r="X30" i="8"/>
  <c r="W30" i="8"/>
  <c r="AB27" i="8"/>
  <c r="AC27" i="8" s="1"/>
  <c r="W27" i="8"/>
  <c r="X27" i="8"/>
  <c r="AB25" i="8"/>
  <c r="AC25" i="8" s="1"/>
  <c r="AB24" i="8"/>
  <c r="AC24" i="8" s="1"/>
  <c r="AB21" i="8"/>
  <c r="AC21" i="8" s="1"/>
  <c r="X21" i="8"/>
  <c r="W21" i="8"/>
  <c r="AB9" i="8"/>
  <c r="AC9" i="8" s="1"/>
  <c r="W9" i="8"/>
  <c r="W8" i="8"/>
  <c r="X8" i="8"/>
  <c r="AB7" i="8"/>
  <c r="AC7" i="8" s="1"/>
  <c r="W7" i="8"/>
  <c r="X7" i="8"/>
  <c r="AB5" i="8"/>
  <c r="AC5" i="8" s="1"/>
  <c r="W5" i="8"/>
  <c r="AB3" i="8"/>
  <c r="AC3" i="8" s="1"/>
  <c r="W3" i="8"/>
  <c r="AD98" i="8" l="1"/>
  <c r="G48" i="4" s="1"/>
  <c r="H48" i="4" s="1"/>
  <c r="AD73" i="8"/>
  <c r="G53" i="5" s="1"/>
  <c r="H53" i="5" s="1"/>
  <c r="G44" i="5"/>
  <c r="H44" i="5" s="1"/>
  <c r="G118" i="2"/>
  <c r="G106" i="7"/>
  <c r="H106" i="7" s="1"/>
  <c r="AD213" i="8"/>
  <c r="G150" i="5" s="1"/>
  <c r="H150" i="5" s="1"/>
  <c r="T233" i="8"/>
  <c r="AD233" i="8" s="1"/>
  <c r="G49" i="7" l="1"/>
  <c r="H49" i="7" s="1"/>
  <c r="G157" i="6"/>
  <c r="H157" i="6" s="1"/>
  <c r="G37" i="4"/>
  <c r="H37" i="4" s="1"/>
  <c r="G169" i="2"/>
  <c r="H169" i="2" s="1"/>
  <c r="G30" i="4"/>
  <c r="H30" i="4" s="1"/>
  <c r="G164" i="5"/>
  <c r="H164" i="5" s="1"/>
  <c r="G186" i="2"/>
  <c r="H186" i="2" s="1"/>
  <c r="G122" i="2"/>
  <c r="H122" i="2" s="1"/>
  <c r="G144" i="7"/>
  <c r="H144" i="7" s="1"/>
  <c r="AD58" i="8" l="1"/>
  <c r="AD229" i="8"/>
  <c r="G156" i="7" s="1"/>
  <c r="H156" i="7" s="1"/>
  <c r="G7" i="2"/>
  <c r="H7" i="2" s="1"/>
  <c r="G4" i="6"/>
  <c r="H4" i="6" s="1"/>
  <c r="G5" i="6" s="1"/>
  <c r="G141" i="7"/>
  <c r="H141" i="7" s="1"/>
  <c r="G122" i="7"/>
  <c r="H122" i="7" s="1"/>
  <c r="AD231" i="8"/>
  <c r="G158" i="7" s="1"/>
  <c r="H158" i="7" s="1"/>
  <c r="AD232" i="8"/>
  <c r="G159" i="7" s="1"/>
  <c r="H159" i="7" s="1"/>
  <c r="G167" i="5"/>
  <c r="H167" i="5" s="1"/>
  <c r="AD238" i="8"/>
  <c r="AD239" i="8"/>
  <c r="G162" i="7" s="1"/>
  <c r="H162" i="7" s="1"/>
  <c r="AD241" i="8"/>
  <c r="G119" i="7" l="1"/>
  <c r="H119" i="7" s="1"/>
  <c r="G140" i="6"/>
  <c r="H140" i="6" s="1"/>
  <c r="G140" i="7"/>
  <c r="H140" i="7" s="1"/>
  <c r="G156" i="6"/>
  <c r="H156" i="6" s="1"/>
  <c r="G51" i="6"/>
  <c r="H51" i="6" s="1"/>
  <c r="G33" i="5"/>
  <c r="H33" i="5" s="1"/>
  <c r="G23" i="4"/>
  <c r="H23" i="4" s="1"/>
  <c r="G29" i="7"/>
  <c r="H29" i="7" s="1"/>
  <c r="G40" i="2"/>
  <c r="H40" i="2" s="1"/>
  <c r="G144" i="5"/>
  <c r="H144" i="5" s="1"/>
  <c r="G163" i="7"/>
  <c r="H163" i="7" s="1"/>
  <c r="G153" i="6"/>
  <c r="H153" i="6" s="1"/>
  <c r="G135" i="7"/>
  <c r="H135" i="7" s="1"/>
  <c r="G161" i="2"/>
  <c r="H161" i="2" s="1"/>
  <c r="G126" i="2"/>
  <c r="H126" i="2" s="1"/>
  <c r="G109" i="7"/>
  <c r="H109" i="7" s="1"/>
  <c r="G168" i="5"/>
  <c r="H168" i="5" s="1"/>
  <c r="G164" i="6"/>
  <c r="H164" i="6" s="1"/>
  <c r="G190" i="2"/>
  <c r="H190" i="2" s="1"/>
  <c r="G160" i="7"/>
  <c r="H160" i="7" s="1"/>
  <c r="G136" i="6"/>
  <c r="H136" i="6" s="1"/>
  <c r="G131" i="2"/>
  <c r="H131" i="2" s="1"/>
  <c r="G63" i="6"/>
  <c r="H63" i="6" s="1"/>
  <c r="G47" i="5"/>
  <c r="H47" i="5" s="1"/>
  <c r="G32" i="4"/>
  <c r="H32" i="4" s="1"/>
  <c r="G42" i="7"/>
  <c r="H42" i="7" s="1"/>
  <c r="G53" i="2"/>
  <c r="H53" i="2" s="1"/>
  <c r="G160" i="5"/>
  <c r="H160" i="5" s="1"/>
  <c r="G181" i="2"/>
  <c r="H181" i="2" s="1"/>
  <c r="G13" i="6"/>
  <c r="H13" i="6" s="1"/>
  <c r="G4" i="4"/>
  <c r="H4" i="4" s="1"/>
  <c r="G6" i="7"/>
  <c r="H6" i="7" s="1"/>
  <c r="G7" i="5"/>
  <c r="H7" i="5" s="1"/>
  <c r="G8" i="2"/>
  <c r="H8" i="2" s="1"/>
  <c r="G38" i="6"/>
  <c r="H38" i="6" s="1"/>
  <c r="G29" i="2"/>
  <c r="H29" i="2" s="1"/>
  <c r="G165" i="5"/>
  <c r="H165" i="5" s="1"/>
  <c r="G191" i="2"/>
  <c r="H191" i="2" s="1"/>
  <c r="G31" i="6"/>
  <c r="H31" i="6" s="1"/>
  <c r="G15" i="5"/>
  <c r="H15" i="5" s="1"/>
  <c r="G21" i="2"/>
  <c r="H21" i="2" s="1"/>
  <c r="G9" i="2"/>
  <c r="H9" i="2" s="1"/>
  <c r="G9" i="7"/>
  <c r="H9" i="7" s="1"/>
  <c r="G44" i="6"/>
  <c r="H44" i="6" s="1"/>
  <c r="G26" i="5"/>
  <c r="H26" i="5" s="1"/>
  <c r="G20" i="4"/>
  <c r="H20" i="4" s="1"/>
  <c r="G34" i="2"/>
  <c r="H34" i="2" s="1"/>
  <c r="G24" i="7"/>
  <c r="H24" i="7" s="1"/>
  <c r="G80" i="6"/>
  <c r="H80" i="6" s="1"/>
  <c r="G63" i="5"/>
  <c r="H63" i="5" s="1"/>
  <c r="G56" i="7"/>
  <c r="H56" i="7" s="1"/>
  <c r="G42" i="4"/>
  <c r="H42" i="4" s="1"/>
  <c r="G65" i="2"/>
  <c r="H65" i="2" s="1"/>
  <c r="G58" i="6"/>
  <c r="H58" i="6" s="1"/>
  <c r="G39" i="5"/>
  <c r="H39" i="5" s="1"/>
  <c r="G172" i="5"/>
  <c r="H172" i="5" s="1"/>
  <c r="G173" i="5" s="1"/>
  <c r="G75" i="4"/>
  <c r="H75" i="4" s="1"/>
  <c r="G76" i="4" s="1"/>
  <c r="G195" i="2"/>
  <c r="H195" i="2" s="1"/>
  <c r="G196" i="2" s="1"/>
  <c r="G168" i="7"/>
  <c r="H168" i="7" s="1"/>
  <c r="G169" i="7" s="1"/>
  <c r="G79" i="6"/>
  <c r="H79" i="6" s="1"/>
  <c r="G62" i="5"/>
  <c r="H62" i="5" s="1"/>
  <c r="G55" i="7"/>
  <c r="H55" i="7" s="1"/>
  <c r="G64" i="2"/>
  <c r="H64" i="2" s="1"/>
  <c r="G41" i="4"/>
  <c r="H41" i="4" s="1"/>
  <c r="G57" i="6"/>
  <c r="H57" i="6" s="1"/>
  <c r="G46" i="2"/>
  <c r="H46" i="2" s="1"/>
  <c r="G36" i="6"/>
  <c r="H36" i="6" s="1"/>
  <c r="G19" i="5"/>
  <c r="H19" i="5" s="1"/>
  <c r="G26" i="2"/>
  <c r="H26" i="2" s="1"/>
  <c r="G17" i="7"/>
  <c r="H17" i="7" s="1"/>
  <c r="G29" i="6"/>
  <c r="H29" i="6" s="1"/>
  <c r="G19" i="2"/>
  <c r="H19" i="2" s="1"/>
  <c r="G13" i="5"/>
  <c r="H13" i="5" s="1"/>
  <c r="AD257" i="8"/>
  <c r="N256" i="8"/>
  <c r="AD256" i="8" s="1"/>
  <c r="AD254" i="8"/>
  <c r="AD253" i="8"/>
  <c r="AD252" i="8"/>
  <c r="N251" i="8"/>
  <c r="AD251" i="8" s="1"/>
  <c r="AD242" i="8"/>
  <c r="G165" i="6" s="1"/>
  <c r="H165" i="6" s="1"/>
  <c r="G170" i="6"/>
  <c r="H170" i="6" s="1"/>
  <c r="AD205" i="8"/>
  <c r="G164" i="2" s="1"/>
  <c r="H164" i="2" s="1"/>
  <c r="AD204" i="8"/>
  <c r="AD185" i="8"/>
  <c r="AD164" i="8"/>
  <c r="G123" i="5" s="1"/>
  <c r="H123" i="5" s="1"/>
  <c r="G88" i="7"/>
  <c r="H88" i="7" s="1"/>
  <c r="AD149" i="8"/>
  <c r="G120" i="2" s="1"/>
  <c r="H120" i="2" s="1"/>
  <c r="AD133" i="8"/>
  <c r="G125" i="6" s="1"/>
  <c r="H125" i="6" s="1"/>
  <c r="AD89" i="8"/>
  <c r="G83" i="6" s="1"/>
  <c r="H83" i="6" s="1"/>
  <c r="AD86" i="8"/>
  <c r="G64" i="5" s="1"/>
  <c r="H64" i="5" s="1"/>
  <c r="AD83" i="8"/>
  <c r="G61" i="5" s="1"/>
  <c r="H61" i="5" s="1"/>
  <c r="AD77" i="8"/>
  <c r="G74" i="6" s="1"/>
  <c r="H74" i="6" s="1"/>
  <c r="AD76" i="8"/>
  <c r="AD75" i="8"/>
  <c r="G70" i="6"/>
  <c r="H70" i="6" s="1"/>
  <c r="AD48" i="8"/>
  <c r="G47" i="6" s="1"/>
  <c r="H47" i="6" s="1"/>
  <c r="AD12" i="8"/>
  <c r="G171" i="6"/>
  <c r="H171" i="6" s="1"/>
  <c r="AD236" i="8"/>
  <c r="G188" i="2" s="1"/>
  <c r="H188" i="2" s="1"/>
  <c r="G187" i="2"/>
  <c r="H187" i="2" s="1"/>
  <c r="G157" i="7"/>
  <c r="H157" i="7" s="1"/>
  <c r="G185" i="2"/>
  <c r="H185" i="2" s="1"/>
  <c r="AD223" i="8"/>
  <c r="G179" i="2" s="1"/>
  <c r="H179" i="2" s="1"/>
  <c r="AD222" i="8"/>
  <c r="G178" i="2" s="1"/>
  <c r="H178" i="2" s="1"/>
  <c r="AD221" i="8"/>
  <c r="AD215" i="8"/>
  <c r="AD214" i="8"/>
  <c r="AD211" i="8"/>
  <c r="AD212" i="8"/>
  <c r="AD203" i="8"/>
  <c r="G136" i="7" s="1"/>
  <c r="H136" i="7" s="1"/>
  <c r="AD201" i="8"/>
  <c r="G162" i="2" s="1"/>
  <c r="H162" i="2" s="1"/>
  <c r="AD240" i="8"/>
  <c r="AD200" i="8"/>
  <c r="AD199" i="8"/>
  <c r="AD196" i="8"/>
  <c r="G141" i="5" s="1"/>
  <c r="H141" i="5" s="1"/>
  <c r="AD193" i="8"/>
  <c r="AD188" i="8"/>
  <c r="G150" i="2" s="1"/>
  <c r="H150" i="2" s="1"/>
  <c r="AD184" i="8"/>
  <c r="G146" i="2" s="1"/>
  <c r="H146" i="2" s="1"/>
  <c r="AD183" i="8"/>
  <c r="G121" i="7"/>
  <c r="H121" i="7" s="1"/>
  <c r="AD179" i="8"/>
  <c r="G143" i="2" s="1"/>
  <c r="H143" i="2" s="1"/>
  <c r="AD178" i="8"/>
  <c r="G142" i="2" s="1"/>
  <c r="H142" i="2" s="1"/>
  <c r="AD177" i="8"/>
  <c r="AD176" i="8"/>
  <c r="G140" i="2" s="1"/>
  <c r="H140" i="2" s="1"/>
  <c r="AD174" i="8"/>
  <c r="G129" i="5" s="1"/>
  <c r="H129" i="5" s="1"/>
  <c r="G138" i="6"/>
  <c r="H138" i="6" s="1"/>
  <c r="AD170" i="8"/>
  <c r="AD168" i="8"/>
  <c r="AD166" i="8"/>
  <c r="AD160" i="8"/>
  <c r="AD158" i="8"/>
  <c r="AD154" i="8"/>
  <c r="AD153" i="8"/>
  <c r="G107" i="7"/>
  <c r="H107" i="7" s="1"/>
  <c r="AD138" i="8"/>
  <c r="G108" i="2"/>
  <c r="H108" i="2" s="1"/>
  <c r="G107" i="2"/>
  <c r="H107" i="2" s="1"/>
  <c r="AD134" i="8"/>
  <c r="G126" i="6" s="1"/>
  <c r="H126" i="6" s="1"/>
  <c r="AD132" i="8"/>
  <c r="AD107" i="8"/>
  <c r="AD106" i="8"/>
  <c r="AD103" i="8"/>
  <c r="AD102" i="8"/>
  <c r="AD101" i="8"/>
  <c r="AD100" i="8"/>
  <c r="AD99" i="8"/>
  <c r="AD97" i="8"/>
  <c r="AD95" i="8"/>
  <c r="AD94" i="8"/>
  <c r="AD93" i="8"/>
  <c r="G87" i="6" s="1"/>
  <c r="H87" i="6" s="1"/>
  <c r="AD91" i="8"/>
  <c r="G68" i="2"/>
  <c r="H68" i="2" s="1"/>
  <c r="AD85" i="8"/>
  <c r="AD70" i="8"/>
  <c r="AD68" i="8"/>
  <c r="AD67" i="8"/>
  <c r="AD60" i="8"/>
  <c r="AD55" i="8"/>
  <c r="AD54" i="8"/>
  <c r="J243" i="8"/>
  <c r="P24" i="8"/>
  <c r="AD50" i="8"/>
  <c r="AD45" i="8"/>
  <c r="AD44" i="8"/>
  <c r="G45" i="6" s="1"/>
  <c r="H45" i="6" s="1"/>
  <c r="G11" i="6" l="1"/>
  <c r="H11" i="6" s="1"/>
  <c r="V24" i="8"/>
  <c r="U24" i="8"/>
  <c r="G50" i="6"/>
  <c r="H50" i="6" s="1"/>
  <c r="G32" i="5"/>
  <c r="H32" i="5" s="1"/>
  <c r="G39" i="2"/>
  <c r="H39" i="2" s="1"/>
  <c r="G22" i="4"/>
  <c r="H22" i="4" s="1"/>
  <c r="G28" i="7"/>
  <c r="H28" i="7" s="1"/>
  <c r="G62" i="6"/>
  <c r="H62" i="6" s="1"/>
  <c r="G45" i="5"/>
  <c r="H45" i="5" s="1"/>
  <c r="G40" i="7"/>
  <c r="H40" i="7" s="1"/>
  <c r="G31" i="4"/>
  <c r="H31" i="4" s="1"/>
  <c r="G51" i="2"/>
  <c r="H51" i="2" s="1"/>
  <c r="G77" i="5"/>
  <c r="H77" i="5" s="1"/>
  <c r="G50" i="4"/>
  <c r="H50" i="4" s="1"/>
  <c r="G35" i="7"/>
  <c r="H35" i="7" s="1"/>
  <c r="G77" i="2"/>
  <c r="H77" i="2" s="1"/>
  <c r="G99" i="6"/>
  <c r="H99" i="6" s="1"/>
  <c r="G81" i="5"/>
  <c r="H81" i="5" s="1"/>
  <c r="G73" i="7"/>
  <c r="H73" i="7" s="1"/>
  <c r="G81" i="2"/>
  <c r="H81" i="2" s="1"/>
  <c r="G54" i="4"/>
  <c r="H54" i="4" s="1"/>
  <c r="G118" i="6"/>
  <c r="H118" i="6" s="1"/>
  <c r="G101" i="5"/>
  <c r="H101" i="5" s="1"/>
  <c r="G69" i="4"/>
  <c r="H69" i="4" s="1"/>
  <c r="G93" i="7"/>
  <c r="H93" i="7" s="1"/>
  <c r="G101" i="2"/>
  <c r="H101" i="2" s="1"/>
  <c r="G113" i="5"/>
  <c r="H113" i="5" s="1"/>
  <c r="G116" i="2"/>
  <c r="H116" i="2" s="1"/>
  <c r="G118" i="5"/>
  <c r="H118" i="5" s="1"/>
  <c r="G110" i="7"/>
  <c r="H110" i="7" s="1"/>
  <c r="G127" i="2"/>
  <c r="H127" i="2" s="1"/>
  <c r="G128" i="5"/>
  <c r="H128" i="5" s="1"/>
  <c r="G118" i="7"/>
  <c r="H118" i="7" s="1"/>
  <c r="G138" i="2"/>
  <c r="H138" i="2" s="1"/>
  <c r="G139" i="6"/>
  <c r="H139" i="6" s="1"/>
  <c r="G154" i="5"/>
  <c r="H154" i="5" s="1"/>
  <c r="G148" i="7"/>
  <c r="H148" i="7" s="1"/>
  <c r="G173" i="2"/>
  <c r="H173" i="2" s="1"/>
  <c r="G178" i="5"/>
  <c r="H178" i="5" s="1"/>
  <c r="G201" i="2"/>
  <c r="H201" i="2" s="1"/>
  <c r="G175" i="7"/>
  <c r="H175" i="7" s="1"/>
  <c r="G54" i="6"/>
  <c r="H54" i="6" s="1"/>
  <c r="G36" i="5"/>
  <c r="H36" i="5" s="1"/>
  <c r="G32" i="7"/>
  <c r="H32" i="7" s="1"/>
  <c r="G43" i="2"/>
  <c r="H43" i="2" s="1"/>
  <c r="G26" i="4"/>
  <c r="H26" i="4" s="1"/>
  <c r="G46" i="5"/>
  <c r="H46" i="5" s="1"/>
  <c r="G41" i="7"/>
  <c r="H41" i="7" s="1"/>
  <c r="G52" i="2"/>
  <c r="H52" i="2" s="1"/>
  <c r="G84" i="6"/>
  <c r="H84" i="6" s="1"/>
  <c r="G66" i="5"/>
  <c r="H66" i="5" s="1"/>
  <c r="G44" i="4"/>
  <c r="H44" i="4" s="1"/>
  <c r="G69" i="2"/>
  <c r="H69" i="2" s="1"/>
  <c r="G60" i="7"/>
  <c r="H60" i="7" s="1"/>
  <c r="G42" i="5"/>
  <c r="H42" i="5" s="1"/>
  <c r="G28" i="4"/>
  <c r="H28" i="4" s="1"/>
  <c r="G49" i="2"/>
  <c r="H49" i="2" s="1"/>
  <c r="G38" i="7"/>
  <c r="H38" i="7" s="1"/>
  <c r="G64" i="6"/>
  <c r="H64" i="6" s="1"/>
  <c r="G43" i="7"/>
  <c r="H43" i="7" s="1"/>
  <c r="G81" i="6"/>
  <c r="H81" i="6" s="1"/>
  <c r="G43" i="4"/>
  <c r="H43" i="4" s="1"/>
  <c r="G66" i="2"/>
  <c r="H66" i="2" s="1"/>
  <c r="G57" i="7"/>
  <c r="H57" i="7" s="1"/>
  <c r="G89" i="6"/>
  <c r="H89" i="6" s="1"/>
  <c r="G70" i="5"/>
  <c r="H70" i="5" s="1"/>
  <c r="G64" i="7"/>
  <c r="H64" i="7" s="1"/>
  <c r="G73" i="2"/>
  <c r="H73" i="2" s="1"/>
  <c r="G46" i="4"/>
  <c r="H46" i="4" s="1"/>
  <c r="G97" i="6"/>
  <c r="H97" i="6" s="1"/>
  <c r="G79" i="5"/>
  <c r="H79" i="5" s="1"/>
  <c r="G52" i="4"/>
  <c r="H52" i="4" s="1"/>
  <c r="G72" i="7"/>
  <c r="H72" i="7" s="1"/>
  <c r="G79" i="2"/>
  <c r="H79" i="2" s="1"/>
  <c r="G115" i="6"/>
  <c r="H115" i="6" s="1"/>
  <c r="G98" i="5"/>
  <c r="H98" i="5" s="1"/>
  <c r="G98" i="2"/>
  <c r="H98" i="2" s="1"/>
  <c r="G90" i="7"/>
  <c r="H90" i="7" s="1"/>
  <c r="G49" i="6"/>
  <c r="H49" i="6" s="1"/>
  <c r="G31" i="5"/>
  <c r="H31" i="5" s="1"/>
  <c r="G21" i="4"/>
  <c r="H21" i="4" s="1"/>
  <c r="G27" i="7"/>
  <c r="H27" i="7" s="1"/>
  <c r="G38" i="2"/>
  <c r="H38" i="2" s="1"/>
  <c r="G52" i="6"/>
  <c r="H52" i="6" s="1"/>
  <c r="G34" i="5"/>
  <c r="H34" i="5" s="1"/>
  <c r="G30" i="7"/>
  <c r="H30" i="7" s="1"/>
  <c r="G24" i="4"/>
  <c r="H24" i="4" s="1"/>
  <c r="G41" i="2"/>
  <c r="H41" i="2" s="1"/>
  <c r="G56" i="6"/>
  <c r="H56" i="6" s="1"/>
  <c r="G38" i="5"/>
  <c r="H38" i="5" s="1"/>
  <c r="G45" i="2"/>
  <c r="H45" i="2" s="1"/>
  <c r="G61" i="6"/>
  <c r="H61" i="6" s="1"/>
  <c r="G43" i="5"/>
  <c r="H43" i="5" s="1"/>
  <c r="G50" i="2"/>
  <c r="H50" i="2" s="1"/>
  <c r="G29" i="4"/>
  <c r="H29" i="4" s="1"/>
  <c r="G39" i="7"/>
  <c r="H39" i="7" s="1"/>
  <c r="G65" i="6"/>
  <c r="H65" i="6" s="1"/>
  <c r="G48" i="5"/>
  <c r="H48" i="5" s="1"/>
  <c r="G54" i="2"/>
  <c r="H54" i="2" s="1"/>
  <c r="G44" i="7"/>
  <c r="H44" i="7" s="1"/>
  <c r="G69" i="6"/>
  <c r="H69" i="6" s="1"/>
  <c r="G52" i="5"/>
  <c r="H52" i="5" s="1"/>
  <c r="G36" i="4"/>
  <c r="H36" i="4" s="1"/>
  <c r="G58" i="2"/>
  <c r="H58" i="2" s="1"/>
  <c r="G48" i="7"/>
  <c r="H48" i="7" s="1"/>
  <c r="G82" i="6"/>
  <c r="H82" i="6" s="1"/>
  <c r="G65" i="5"/>
  <c r="H65" i="5" s="1"/>
  <c r="G67" i="2"/>
  <c r="H67" i="2" s="1"/>
  <c r="G86" i="6"/>
  <c r="H86" i="6" s="1"/>
  <c r="G68" i="5"/>
  <c r="H68" i="5" s="1"/>
  <c r="G62" i="7"/>
  <c r="H62" i="7" s="1"/>
  <c r="G71" i="2"/>
  <c r="H71" i="2" s="1"/>
  <c r="G90" i="6"/>
  <c r="H90" i="6" s="1"/>
  <c r="G72" i="5"/>
  <c r="H72" i="5" s="1"/>
  <c r="G66" i="7"/>
  <c r="H66" i="7" s="1"/>
  <c r="G47" i="4"/>
  <c r="H47" i="4" s="1"/>
  <c r="G68" i="7"/>
  <c r="H68" i="7" s="1"/>
  <c r="G94" i="6"/>
  <c r="H94" i="6" s="1"/>
  <c r="G76" i="5"/>
  <c r="H76" i="5" s="1"/>
  <c r="G70" i="7"/>
  <c r="H70" i="7" s="1"/>
  <c r="G76" i="2"/>
  <c r="H76" i="2" s="1"/>
  <c r="G98" i="6"/>
  <c r="H98" i="6" s="1"/>
  <c r="G80" i="5"/>
  <c r="H80" i="5" s="1"/>
  <c r="G80" i="2"/>
  <c r="H80" i="2" s="1"/>
  <c r="G53" i="4"/>
  <c r="H53" i="4" s="1"/>
  <c r="G36" i="7"/>
  <c r="H36" i="7" s="1"/>
  <c r="G105" i="6"/>
  <c r="H105" i="6" s="1"/>
  <c r="G87" i="5"/>
  <c r="H87" i="5" s="1"/>
  <c r="G59" i="4"/>
  <c r="H59" i="4" s="1"/>
  <c r="G87" i="2"/>
  <c r="H87" i="2" s="1"/>
  <c r="G79" i="7"/>
  <c r="H79" i="7" s="1"/>
  <c r="G117" i="6"/>
  <c r="H117" i="6" s="1"/>
  <c r="G100" i="5"/>
  <c r="H100" i="5" s="1"/>
  <c r="G92" i="7"/>
  <c r="H92" i="7" s="1"/>
  <c r="G100" i="2"/>
  <c r="H100" i="2" s="1"/>
  <c r="G121" i="6"/>
  <c r="H121" i="6" s="1"/>
  <c r="G104" i="5"/>
  <c r="H104" i="5" s="1"/>
  <c r="G96" i="7"/>
  <c r="H96" i="7" s="1"/>
  <c r="G104" i="2"/>
  <c r="H104" i="2" s="1"/>
  <c r="G124" i="6"/>
  <c r="H124" i="6" s="1"/>
  <c r="G108" i="5"/>
  <c r="H108" i="5" s="1"/>
  <c r="G111" i="2"/>
  <c r="H111" i="2" s="1"/>
  <c r="G100" i="7"/>
  <c r="H100" i="7" s="1"/>
  <c r="G121" i="2"/>
  <c r="H121" i="2" s="1"/>
  <c r="G105" i="7"/>
  <c r="H105" i="7" s="1"/>
  <c r="G133" i="6"/>
  <c r="H133" i="6" s="1"/>
  <c r="G125" i="2"/>
  <c r="H125" i="2" s="1"/>
  <c r="G120" i="5"/>
  <c r="H120" i="5" s="1"/>
  <c r="G129" i="2"/>
  <c r="H129" i="2" s="1"/>
  <c r="G125" i="5"/>
  <c r="H125" i="5" s="1"/>
  <c r="G115" i="7"/>
  <c r="H115" i="7" s="1"/>
  <c r="G133" i="2"/>
  <c r="H133" i="2" s="1"/>
  <c r="G127" i="5"/>
  <c r="H127" i="5" s="1"/>
  <c r="G137" i="2"/>
  <c r="H137" i="2" s="1"/>
  <c r="G130" i="5"/>
  <c r="H130" i="5" s="1"/>
  <c r="G120" i="7"/>
  <c r="H120" i="7" s="1"/>
  <c r="G139" i="2"/>
  <c r="H139" i="2" s="1"/>
  <c r="G135" i="5"/>
  <c r="H135" i="5" s="1"/>
  <c r="G124" i="7"/>
  <c r="H124" i="7" s="1"/>
  <c r="G148" i="2"/>
  <c r="H148" i="2" s="1"/>
  <c r="G143" i="6"/>
  <c r="H143" i="6" s="1"/>
  <c r="G145" i="6"/>
  <c r="H145" i="6" s="1"/>
  <c r="G127" i="7"/>
  <c r="H127" i="7" s="1"/>
  <c r="G152" i="2"/>
  <c r="H152" i="2" s="1"/>
  <c r="G143" i="5"/>
  <c r="H143" i="5" s="1"/>
  <c r="G160" i="2"/>
  <c r="H160" i="2" s="1"/>
  <c r="G134" i="7"/>
  <c r="H134" i="7" s="1"/>
  <c r="G148" i="5"/>
  <c r="H148" i="5" s="1"/>
  <c r="G142" i="7"/>
  <c r="H142" i="7" s="1"/>
  <c r="G153" i="5"/>
  <c r="H153" i="5" s="1"/>
  <c r="G172" i="2"/>
  <c r="H172" i="2" s="1"/>
  <c r="G147" i="7"/>
  <c r="H147" i="7" s="1"/>
  <c r="G157" i="5"/>
  <c r="H157" i="5" s="1"/>
  <c r="G176" i="2"/>
  <c r="H176" i="2" s="1"/>
  <c r="G151" i="7"/>
  <c r="H151" i="7" s="1"/>
  <c r="G166" i="5"/>
  <c r="H166" i="5" s="1"/>
  <c r="G169" i="5" s="1"/>
  <c r="G161" i="7"/>
  <c r="H161" i="7" s="1"/>
  <c r="G189" i="2"/>
  <c r="H189" i="2" s="1"/>
  <c r="G192" i="2" s="1"/>
  <c r="G19" i="7"/>
  <c r="H19" i="7" s="1"/>
  <c r="G21" i="5"/>
  <c r="H21" i="5" s="1"/>
  <c r="G73" i="6"/>
  <c r="H73" i="6" s="1"/>
  <c r="G56" i="5"/>
  <c r="H56" i="5" s="1"/>
  <c r="G39" i="4"/>
  <c r="H39" i="4" s="1"/>
  <c r="G177" i="5"/>
  <c r="H177" i="5" s="1"/>
  <c r="G174" i="7"/>
  <c r="H174" i="7" s="1"/>
  <c r="G200" i="2"/>
  <c r="H200" i="2" s="1"/>
  <c r="G180" i="5"/>
  <c r="H180" i="5" s="1"/>
  <c r="G172" i="7"/>
  <c r="H172" i="7" s="1"/>
  <c r="G27" i="5"/>
  <c r="H27" i="5" s="1"/>
  <c r="G28" i="5"/>
  <c r="H28" i="5" s="1"/>
  <c r="G35" i="2"/>
  <c r="H35" i="2" s="1"/>
  <c r="G40" i="5"/>
  <c r="H40" i="5" s="1"/>
  <c r="G34" i="7"/>
  <c r="H34" i="7" s="1"/>
  <c r="G27" i="4"/>
  <c r="H27" i="4" s="1"/>
  <c r="G47" i="2"/>
  <c r="H47" i="2" s="1"/>
  <c r="G71" i="6"/>
  <c r="H71" i="6" s="1"/>
  <c r="G54" i="5"/>
  <c r="H54" i="5" s="1"/>
  <c r="G50" i="7"/>
  <c r="H50" i="7" s="1"/>
  <c r="G59" i="2"/>
  <c r="H59" i="2" s="1"/>
  <c r="G38" i="4"/>
  <c r="H38" i="4" s="1"/>
  <c r="G92" i="6"/>
  <c r="H92" i="6" s="1"/>
  <c r="G74" i="5"/>
  <c r="H74" i="5" s="1"/>
  <c r="G74" i="2"/>
  <c r="H74" i="2" s="1"/>
  <c r="G114" i="6"/>
  <c r="H114" i="6" s="1"/>
  <c r="G96" i="5"/>
  <c r="H96" i="5" s="1"/>
  <c r="G89" i="7"/>
  <c r="H89" i="7" s="1"/>
  <c r="G96" i="2"/>
  <c r="H96" i="2" s="1"/>
  <c r="G122" i="6"/>
  <c r="H122" i="6" s="1"/>
  <c r="G105" i="5"/>
  <c r="H105" i="5" s="1"/>
  <c r="G97" i="7"/>
  <c r="H97" i="7" s="1"/>
  <c r="G105" i="2"/>
  <c r="H105" i="2" s="1"/>
  <c r="G121" i="5"/>
  <c r="H121" i="5" s="1"/>
  <c r="G112" i="7"/>
  <c r="H112" i="7" s="1"/>
  <c r="G130" i="2"/>
  <c r="H130" i="2" s="1"/>
  <c r="G135" i="6"/>
  <c r="H135" i="6" s="1"/>
  <c r="G136" i="5"/>
  <c r="H136" i="5" s="1"/>
  <c r="G149" i="2"/>
  <c r="H149" i="2" s="1"/>
  <c r="G125" i="7"/>
  <c r="H125" i="7" s="1"/>
  <c r="G144" i="6"/>
  <c r="H144" i="6" s="1"/>
  <c r="G123" i="7"/>
  <c r="H123" i="7" s="1"/>
  <c r="G157" i="2"/>
  <c r="H157" i="2" s="1"/>
  <c r="G142" i="6"/>
  <c r="H142" i="6" s="1"/>
  <c r="G145" i="5"/>
  <c r="H145" i="5" s="1"/>
  <c r="G165" i="2"/>
  <c r="H165" i="2" s="1"/>
  <c r="G138" i="7"/>
  <c r="H138" i="7" s="1"/>
  <c r="G154" i="6"/>
  <c r="H154" i="6" s="1"/>
  <c r="G149" i="5"/>
  <c r="H149" i="5" s="1"/>
  <c r="G168" i="2"/>
  <c r="H168" i="2" s="1"/>
  <c r="G143" i="7"/>
  <c r="H143" i="7" s="1"/>
  <c r="G158" i="5"/>
  <c r="H158" i="5" s="1"/>
  <c r="G152" i="7"/>
  <c r="H152" i="7" s="1"/>
  <c r="G177" i="2"/>
  <c r="H177" i="2" s="1"/>
  <c r="G71" i="5"/>
  <c r="H71" i="5" s="1"/>
  <c r="G65" i="7"/>
  <c r="H65" i="7" s="1"/>
  <c r="G46" i="6"/>
  <c r="H46" i="6" s="1"/>
  <c r="G29" i="5"/>
  <c r="H29" i="5" s="1"/>
  <c r="G36" i="2"/>
  <c r="H36" i="2" s="1"/>
  <c r="G25" i="7"/>
  <c r="H25" i="7" s="1"/>
  <c r="G60" i="6"/>
  <c r="H60" i="6" s="1"/>
  <c r="G41" i="5"/>
  <c r="H41" i="5" s="1"/>
  <c r="G37" i="7"/>
  <c r="H37" i="7" s="1"/>
  <c r="G48" i="2"/>
  <c r="H48" i="2" s="1"/>
  <c r="G88" i="6"/>
  <c r="H88" i="6" s="1"/>
  <c r="G69" i="5"/>
  <c r="H69" i="5" s="1"/>
  <c r="G45" i="4"/>
  <c r="H45" i="4" s="1"/>
  <c r="G63" i="7"/>
  <c r="H63" i="7" s="1"/>
  <c r="G72" i="2"/>
  <c r="H72" i="2" s="1"/>
  <c r="G91" i="6"/>
  <c r="H91" i="6" s="1"/>
  <c r="G73" i="5"/>
  <c r="H73" i="5" s="1"/>
  <c r="G49" i="4"/>
  <c r="H49" i="4" s="1"/>
  <c r="G67" i="7"/>
  <c r="H67" i="7" s="1"/>
  <c r="G96" i="6"/>
  <c r="H96" i="6" s="1"/>
  <c r="G78" i="5"/>
  <c r="H78" i="5" s="1"/>
  <c r="G71" i="7"/>
  <c r="H71" i="7" s="1"/>
  <c r="G51" i="4"/>
  <c r="H51" i="4" s="1"/>
  <c r="G78" i="2"/>
  <c r="H78" i="2" s="1"/>
  <c r="G85" i="5"/>
  <c r="H85" i="5" s="1"/>
  <c r="G77" i="7"/>
  <c r="H77" i="7" s="1"/>
  <c r="G85" i="2"/>
  <c r="H85" i="2" s="1"/>
  <c r="G97" i="5"/>
  <c r="H97" i="5" s="1"/>
  <c r="G97" i="2"/>
  <c r="H97" i="2" s="1"/>
  <c r="G119" i="6"/>
  <c r="H119" i="6" s="1"/>
  <c r="G102" i="5"/>
  <c r="H102" i="5" s="1"/>
  <c r="G94" i="7"/>
  <c r="H94" i="7" s="1"/>
  <c r="G102" i="2"/>
  <c r="H102" i="2" s="1"/>
  <c r="G106" i="5"/>
  <c r="H106" i="5" s="1"/>
  <c r="G106" i="2"/>
  <c r="H106" i="2" s="1"/>
  <c r="G123" i="6"/>
  <c r="H123" i="6" s="1"/>
  <c r="G107" i="5"/>
  <c r="H107" i="5" s="1"/>
  <c r="G109" i="2"/>
  <c r="H109" i="2" s="1"/>
  <c r="G98" i="7"/>
  <c r="H98" i="7" s="1"/>
  <c r="G71" i="4"/>
  <c r="H71" i="4" s="1"/>
  <c r="G114" i="5"/>
  <c r="H114" i="5" s="1"/>
  <c r="G117" i="2"/>
  <c r="H117" i="2" s="1"/>
  <c r="G116" i="5"/>
  <c r="H116" i="5" s="1"/>
  <c r="G108" i="7"/>
  <c r="H108" i="7" s="1"/>
  <c r="G123" i="2"/>
  <c r="H123" i="2" s="1"/>
  <c r="G111" i="7"/>
  <c r="H111" i="7" s="1"/>
  <c r="G134" i="6"/>
  <c r="H134" i="6" s="1"/>
  <c r="G122" i="5"/>
  <c r="H122" i="5" s="1"/>
  <c r="G113" i="7"/>
  <c r="H113" i="7" s="1"/>
  <c r="G116" i="7"/>
  <c r="H116" i="7" s="1"/>
  <c r="G135" i="2"/>
  <c r="H135" i="2" s="1"/>
  <c r="G137" i="6"/>
  <c r="H137" i="6" s="1"/>
  <c r="G131" i="5"/>
  <c r="H131" i="5" s="1"/>
  <c r="G141" i="2"/>
  <c r="H141" i="2" s="1"/>
  <c r="G133" i="5"/>
  <c r="H133" i="5" s="1"/>
  <c r="G145" i="2"/>
  <c r="H145" i="2" s="1"/>
  <c r="G140" i="5"/>
  <c r="H140" i="5" s="1"/>
  <c r="G131" i="7"/>
  <c r="H131" i="7" s="1"/>
  <c r="G156" i="2"/>
  <c r="H156" i="2" s="1"/>
  <c r="G148" i="6"/>
  <c r="H148" i="6" s="1"/>
  <c r="G158" i="2"/>
  <c r="H158" i="2" s="1"/>
  <c r="G133" i="7"/>
  <c r="H133" i="7" s="1"/>
  <c r="G151" i="6"/>
  <c r="H151" i="6" s="1"/>
  <c r="G146" i="5"/>
  <c r="H146" i="5" s="1"/>
  <c r="G166" i="2"/>
  <c r="H166" i="2" s="1"/>
  <c r="G151" i="5"/>
  <c r="H151" i="5" s="1"/>
  <c r="G170" i="2"/>
  <c r="H170" i="2" s="1"/>
  <c r="G145" i="7"/>
  <c r="H145" i="7" s="1"/>
  <c r="G155" i="5"/>
  <c r="H155" i="5" s="1"/>
  <c r="G149" i="7"/>
  <c r="H149" i="7" s="1"/>
  <c r="G174" i="2"/>
  <c r="H174" i="2" s="1"/>
  <c r="G14" i="6"/>
  <c r="H14" i="6" s="1"/>
  <c r="G7" i="4"/>
  <c r="H7" i="4" s="1"/>
  <c r="G134" i="5"/>
  <c r="H134" i="5" s="1"/>
  <c r="G147" i="2"/>
  <c r="H147" i="2" s="1"/>
  <c r="G179" i="5"/>
  <c r="H179" i="5" s="1"/>
  <c r="G202" i="2"/>
  <c r="H202" i="2" s="1"/>
  <c r="G176" i="7"/>
  <c r="H176" i="7" s="1"/>
  <c r="G53" i="6"/>
  <c r="H53" i="6" s="1"/>
  <c r="G35" i="5"/>
  <c r="H35" i="5" s="1"/>
  <c r="G25" i="4"/>
  <c r="H25" i="4" s="1"/>
  <c r="G31" i="7"/>
  <c r="H31" i="7" s="1"/>
  <c r="G42" i="2"/>
  <c r="H42" i="2" s="1"/>
  <c r="G66" i="6"/>
  <c r="H66" i="6" s="1"/>
  <c r="G49" i="5"/>
  <c r="H49" i="5" s="1"/>
  <c r="G45" i="7"/>
  <c r="H45" i="7" s="1"/>
  <c r="G55" i="2"/>
  <c r="H55" i="2" s="1"/>
  <c r="G33" i="4"/>
  <c r="H33" i="4" s="1"/>
  <c r="G132" i="5"/>
  <c r="H132" i="5" s="1"/>
  <c r="G134" i="2"/>
  <c r="H134" i="2" s="1"/>
  <c r="G163" i="6"/>
  <c r="H163" i="6" s="1"/>
  <c r="G166" i="6" s="1"/>
  <c r="G139" i="5"/>
  <c r="H139" i="5" s="1"/>
  <c r="G147" i="6"/>
  <c r="H147" i="6" s="1"/>
  <c r="G130" i="7"/>
  <c r="H130" i="7" s="1"/>
  <c r="G155" i="2"/>
  <c r="H155" i="2" s="1"/>
  <c r="G172" i="6"/>
  <c r="G67" i="6"/>
  <c r="H67" i="6" s="1"/>
  <c r="G50" i="5"/>
  <c r="H50" i="5" s="1"/>
  <c r="G46" i="7"/>
  <c r="H46" i="7" s="1"/>
  <c r="G34" i="4"/>
  <c r="H34" i="4" s="1"/>
  <c r="G56" i="2"/>
  <c r="H56" i="2" s="1"/>
  <c r="G48" i="6"/>
  <c r="H48" i="6" s="1"/>
  <c r="G30" i="5"/>
  <c r="H30" i="5" s="1"/>
  <c r="G26" i="7"/>
  <c r="H26" i="7" s="1"/>
  <c r="G37" i="2"/>
  <c r="H37" i="2" s="1"/>
  <c r="G55" i="6"/>
  <c r="H55" i="6" s="1"/>
  <c r="G37" i="5"/>
  <c r="H37" i="5" s="1"/>
  <c r="G33" i="7"/>
  <c r="H33" i="7" s="1"/>
  <c r="G44" i="2"/>
  <c r="H44" i="2" s="1"/>
  <c r="G68" i="6"/>
  <c r="H68" i="6" s="1"/>
  <c r="G51" i="5"/>
  <c r="H51" i="5" s="1"/>
  <c r="G35" i="4"/>
  <c r="H35" i="4" s="1"/>
  <c r="G57" i="2"/>
  <c r="H57" i="2" s="1"/>
  <c r="G47" i="7"/>
  <c r="H47" i="7" s="1"/>
  <c r="G85" i="6"/>
  <c r="H85" i="6" s="1"/>
  <c r="G67" i="5"/>
  <c r="H67" i="5" s="1"/>
  <c r="G61" i="7"/>
  <c r="H61" i="7" s="1"/>
  <c r="G70" i="2"/>
  <c r="H70" i="2" s="1"/>
  <c r="G93" i="6"/>
  <c r="H93" i="6" s="1"/>
  <c r="G75" i="5"/>
  <c r="H75" i="5" s="1"/>
  <c r="G75" i="2"/>
  <c r="H75" i="2" s="1"/>
  <c r="G69" i="7"/>
  <c r="H69" i="7" s="1"/>
  <c r="G120" i="6"/>
  <c r="H120" i="6" s="1"/>
  <c r="G103" i="5"/>
  <c r="H103" i="5" s="1"/>
  <c r="G103" i="2"/>
  <c r="H103" i="2" s="1"/>
  <c r="G70" i="4"/>
  <c r="H70" i="4" s="1"/>
  <c r="G95" i="7"/>
  <c r="H95" i="7" s="1"/>
  <c r="G109" i="5"/>
  <c r="H109" i="5" s="1"/>
  <c r="G99" i="7"/>
  <c r="H99" i="7" s="1"/>
  <c r="G110" i="2"/>
  <c r="H110" i="2" s="1"/>
  <c r="G115" i="5"/>
  <c r="H115" i="5" s="1"/>
  <c r="G119" i="2"/>
  <c r="H119" i="2" s="1"/>
  <c r="G132" i="6"/>
  <c r="H132" i="6" s="1"/>
  <c r="G117" i="5"/>
  <c r="H117" i="5" s="1"/>
  <c r="G124" i="2"/>
  <c r="H124" i="2" s="1"/>
  <c r="G119" i="5"/>
  <c r="H119" i="5" s="1"/>
  <c r="G128" i="2"/>
  <c r="H128" i="2" s="1"/>
  <c r="G124" i="5"/>
  <c r="H124" i="5" s="1"/>
  <c r="G132" i="2"/>
  <c r="H132" i="2" s="1"/>
  <c r="G114" i="7"/>
  <c r="H114" i="7" s="1"/>
  <c r="G126" i="5"/>
  <c r="H126" i="5" s="1"/>
  <c r="G136" i="2"/>
  <c r="H136" i="2" s="1"/>
  <c r="G117" i="7"/>
  <c r="H117" i="7" s="1"/>
  <c r="G137" i="5"/>
  <c r="H137" i="5" s="1"/>
  <c r="G151" i="2"/>
  <c r="H151" i="2" s="1"/>
  <c r="G126" i="7"/>
  <c r="H126" i="7" s="1"/>
  <c r="G150" i="6"/>
  <c r="H150" i="6" s="1"/>
  <c r="G149" i="6"/>
  <c r="H149" i="6" s="1"/>
  <c r="G132" i="7"/>
  <c r="H132" i="7" s="1"/>
  <c r="G142" i="5"/>
  <c r="H142" i="5" s="1"/>
  <c r="G152" i="6"/>
  <c r="H152" i="6" s="1"/>
  <c r="G159" i="2"/>
  <c r="H159" i="2" s="1"/>
  <c r="G163" i="2"/>
  <c r="H163" i="2" s="1"/>
  <c r="G137" i="7"/>
  <c r="H137" i="7" s="1"/>
  <c r="G147" i="5"/>
  <c r="H147" i="5" s="1"/>
  <c r="G139" i="7"/>
  <c r="H139" i="7" s="1"/>
  <c r="G167" i="2"/>
  <c r="H167" i="2" s="1"/>
  <c r="G155" i="6"/>
  <c r="H155" i="6" s="1"/>
  <c r="G152" i="5"/>
  <c r="H152" i="5" s="1"/>
  <c r="G171" i="2"/>
  <c r="H171" i="2" s="1"/>
  <c r="G146" i="7"/>
  <c r="H146" i="7" s="1"/>
  <c r="G156" i="5"/>
  <c r="H156" i="5" s="1"/>
  <c r="G175" i="2"/>
  <c r="H175" i="2" s="1"/>
  <c r="G150" i="7"/>
  <c r="H150" i="7" s="1"/>
  <c r="G141" i="6"/>
  <c r="H141" i="6" s="1"/>
  <c r="G144" i="2"/>
  <c r="H144" i="2" s="1"/>
  <c r="G72" i="6"/>
  <c r="H72" i="6" s="1"/>
  <c r="G55" i="5"/>
  <c r="H55" i="5" s="1"/>
  <c r="G176" i="5"/>
  <c r="H176" i="5" s="1"/>
  <c r="G173" i="7"/>
  <c r="H173" i="7" s="1"/>
  <c r="G199" i="2"/>
  <c r="H199" i="2" s="1"/>
  <c r="G176" i="6"/>
  <c r="H176" i="6" s="1"/>
  <c r="G177" i="6" s="1"/>
  <c r="G203" i="2"/>
  <c r="H203" i="2" s="1"/>
  <c r="G95" i="6"/>
  <c r="H95" i="6" s="1"/>
  <c r="G59" i="6"/>
  <c r="H59" i="6" s="1"/>
  <c r="AD39" i="8"/>
  <c r="AD37" i="8"/>
  <c r="AD36" i="8"/>
  <c r="AD6" i="8"/>
  <c r="G5" i="2" s="1"/>
  <c r="H5" i="2" s="1"/>
  <c r="R125" i="8"/>
  <c r="X24" i="8" l="1"/>
  <c r="W24" i="8"/>
  <c r="G204" i="2"/>
  <c r="G10" i="6"/>
  <c r="H10" i="6" s="1"/>
  <c r="G5" i="5"/>
  <c r="H5" i="5" s="1"/>
  <c r="G5" i="7"/>
  <c r="H5" i="7" s="1"/>
  <c r="G6" i="2"/>
  <c r="H6" i="2" s="1"/>
  <c r="G37" i="6"/>
  <c r="H37" i="6" s="1"/>
  <c r="G20" i="7"/>
  <c r="H20" i="7" s="1"/>
  <c r="G22" i="5"/>
  <c r="H22" i="5" s="1"/>
  <c r="G28" i="2"/>
  <c r="H28" i="2" s="1"/>
  <c r="G9" i="6"/>
  <c r="H9" i="6" s="1"/>
  <c r="G4" i="5"/>
  <c r="H4" i="5" s="1"/>
  <c r="G4" i="7"/>
  <c r="H4" i="7" s="1"/>
  <c r="G4" i="2"/>
  <c r="H4" i="2" s="1"/>
  <c r="G18" i="7"/>
  <c r="H18" i="7" s="1"/>
  <c r="G20" i="5"/>
  <c r="H20" i="5" s="1"/>
  <c r="G181" i="5"/>
  <c r="G39" i="6"/>
  <c r="H39" i="6" s="1"/>
  <c r="G27" i="2"/>
  <c r="H27" i="2" s="1"/>
  <c r="G177" i="7"/>
  <c r="G23" i="6"/>
  <c r="H23" i="6" s="1"/>
  <c r="G13" i="7"/>
  <c r="H13" i="7" s="1"/>
  <c r="G13" i="2"/>
  <c r="H13" i="2" s="1"/>
  <c r="G8" i="5"/>
  <c r="H8" i="5" s="1"/>
  <c r="G16" i="4"/>
  <c r="H16" i="4" s="1"/>
  <c r="G17" i="4" s="1"/>
  <c r="Q29" i="8"/>
  <c r="Q26" i="8"/>
  <c r="O26" i="8"/>
  <c r="N26" i="8"/>
  <c r="M26" i="8"/>
  <c r="L26" i="8"/>
  <c r="Q135" i="8"/>
  <c r="AD135" i="8" s="1"/>
  <c r="Q142" i="8"/>
  <c r="Q141" i="8"/>
  <c r="AD141" i="8" s="1"/>
  <c r="G101" i="7" s="1"/>
  <c r="H101" i="7" s="1"/>
  <c r="Q111" i="8"/>
  <c r="AD29" i="8" l="1"/>
  <c r="G28" i="6" s="1"/>
  <c r="H28" i="6" s="1"/>
  <c r="AA111" i="8"/>
  <c r="Z111" i="8"/>
  <c r="Y111" i="8"/>
  <c r="AA26" i="8"/>
  <c r="Y26" i="8"/>
  <c r="AD26" i="8" s="1"/>
  <c r="V26" i="8"/>
  <c r="U26" i="8"/>
  <c r="Z26" i="8"/>
  <c r="G23" i="5"/>
  <c r="G40" i="6"/>
  <c r="G21" i="7"/>
  <c r="G30" i="2"/>
  <c r="N224" i="8"/>
  <c r="J206" i="8"/>
  <c r="N192" i="8"/>
  <c r="N191" i="8"/>
  <c r="K191" i="8"/>
  <c r="K157" i="8"/>
  <c r="M142" i="8"/>
  <c r="J142" i="8"/>
  <c r="M125" i="8"/>
  <c r="L111" i="8"/>
  <c r="M81" i="8"/>
  <c r="L81" i="8"/>
  <c r="M78" i="8"/>
  <c r="AD78" i="8" s="1"/>
  <c r="J65" i="8"/>
  <c r="M31" i="8"/>
  <c r="L31" i="8"/>
  <c r="M29" i="8"/>
  <c r="L29" i="8"/>
  <c r="O25" i="8"/>
  <c r="M25" i="8"/>
  <c r="G18" i="2" l="1"/>
  <c r="H18" i="2" s="1"/>
  <c r="G12" i="5"/>
  <c r="H12" i="5" s="1"/>
  <c r="AB29" i="8"/>
  <c r="AC29" i="8" s="1"/>
  <c r="U31" i="8"/>
  <c r="V31" i="8"/>
  <c r="U81" i="8"/>
  <c r="V81" i="8"/>
  <c r="U111" i="8"/>
  <c r="V111" i="8"/>
  <c r="Y125" i="8"/>
  <c r="V125" i="8"/>
  <c r="AA125" i="8"/>
  <c r="AB125" i="8" s="1"/>
  <c r="AC125" i="8" s="1"/>
  <c r="U125" i="8"/>
  <c r="Z125" i="8"/>
  <c r="AD125" i="8" s="1"/>
  <c r="G116" i="6" s="1"/>
  <c r="H116" i="6" s="1"/>
  <c r="AB26" i="8"/>
  <c r="AC26" i="8" s="1"/>
  <c r="U25" i="8"/>
  <c r="V25" i="8"/>
  <c r="AA142" i="8"/>
  <c r="U142" i="8"/>
  <c r="Z142" i="8"/>
  <c r="Y142" i="8"/>
  <c r="AD142" i="8" s="1"/>
  <c r="V142" i="8"/>
  <c r="W26" i="8"/>
  <c r="X26" i="8"/>
  <c r="AB111" i="8"/>
  <c r="AC111" i="8" s="1"/>
  <c r="AD111" i="8"/>
  <c r="AA81" i="8"/>
  <c r="Z81" i="8"/>
  <c r="AD81" i="8" s="1"/>
  <c r="Y81" i="8"/>
  <c r="G75" i="6"/>
  <c r="H75" i="6" s="1"/>
  <c r="G57" i="5"/>
  <c r="H57" i="5" s="1"/>
  <c r="G51" i="7"/>
  <c r="H51" i="7" s="1"/>
  <c r="G60" i="2"/>
  <c r="H60" i="2" s="1"/>
  <c r="G159" i="5"/>
  <c r="H159" i="5" s="1"/>
  <c r="G180" i="2"/>
  <c r="H180" i="2" s="1"/>
  <c r="G158" i="6"/>
  <c r="H158" i="6" s="1"/>
  <c r="G164" i="7"/>
  <c r="H164" i="7" s="1"/>
  <c r="G165" i="7" s="1"/>
  <c r="G30" i="6"/>
  <c r="H30" i="6" s="1"/>
  <c r="G32" i="6" s="1"/>
  <c r="G14" i="5"/>
  <c r="H14" i="5" s="1"/>
  <c r="G20" i="2"/>
  <c r="H20" i="2" s="1"/>
  <c r="G138" i="5"/>
  <c r="H138" i="5" s="1"/>
  <c r="G154" i="2"/>
  <c r="H154" i="2" s="1"/>
  <c r="G146" i="6"/>
  <c r="H146" i="6" s="1"/>
  <c r="G129" i="7"/>
  <c r="H129" i="7" s="1"/>
  <c r="G68" i="4"/>
  <c r="H68" i="4" s="1"/>
  <c r="G91" i="7"/>
  <c r="H91" i="7" s="1"/>
  <c r="G12" i="7"/>
  <c r="H12" i="7" s="1"/>
  <c r="G14" i="7" s="1"/>
  <c r="G6" i="5"/>
  <c r="H6" i="5" s="1"/>
  <c r="G9" i="5" s="1"/>
  <c r="G22" i="2" l="1"/>
  <c r="G99" i="5"/>
  <c r="H99" i="5" s="1"/>
  <c r="G16" i="5"/>
  <c r="X142" i="8"/>
  <c r="G99" i="2"/>
  <c r="H99" i="2" s="1"/>
  <c r="X111" i="8"/>
  <c r="X81" i="8"/>
  <c r="W31" i="8"/>
  <c r="G60" i="5"/>
  <c r="H60" i="5" s="1"/>
  <c r="G82" i="5" s="1"/>
  <c r="G40" i="4"/>
  <c r="H40" i="4" s="1"/>
  <c r="G55" i="4" s="1"/>
  <c r="G63" i="2"/>
  <c r="H63" i="2" s="1"/>
  <c r="G82" i="2" s="1"/>
  <c r="G78" i="6"/>
  <c r="H78" i="6" s="1"/>
  <c r="G100" i="6" s="1"/>
  <c r="G54" i="7"/>
  <c r="H54" i="7" s="1"/>
  <c r="G74" i="7" s="1"/>
  <c r="W25" i="8"/>
  <c r="X25" i="8"/>
  <c r="W111" i="8"/>
  <c r="W81" i="8"/>
  <c r="AB81" i="8"/>
  <c r="AC81" i="8" s="1"/>
  <c r="W142" i="8"/>
  <c r="X29" i="8"/>
  <c r="W29" i="8"/>
  <c r="X31" i="8"/>
  <c r="W125" i="8"/>
  <c r="X125" i="8"/>
  <c r="G104" i="6"/>
  <c r="H104" i="6" s="1"/>
  <c r="G78" i="7"/>
  <c r="H78" i="7" s="1"/>
  <c r="G102" i="7" s="1"/>
  <c r="G86" i="2"/>
  <c r="H86" i="2" s="1"/>
  <c r="G58" i="4"/>
  <c r="H58" i="4" s="1"/>
  <c r="G72" i="4" s="1"/>
  <c r="G86" i="5"/>
  <c r="H86" i="5" s="1"/>
  <c r="AB142" i="8"/>
  <c r="AC142" i="8" s="1"/>
  <c r="G159" i="6"/>
  <c r="G127" i="6"/>
  <c r="H127" i="6" s="1"/>
  <c r="G112" i="2"/>
  <c r="H112" i="2" s="1"/>
  <c r="G128" i="7"/>
  <c r="H128" i="7" s="1"/>
  <c r="G153" i="7" s="1"/>
  <c r="G153" i="2"/>
  <c r="H153" i="2" s="1"/>
  <c r="G182" i="2" s="1"/>
  <c r="G12" i="6"/>
  <c r="H12" i="6" s="1"/>
  <c r="G24" i="6" s="1"/>
  <c r="G12" i="2"/>
  <c r="H12" i="2" s="1"/>
  <c r="G14" i="2" s="1"/>
  <c r="G161" i="5"/>
  <c r="G110" i="5" l="1"/>
  <c r="G183" i="5" s="1"/>
  <c r="E9" i="9" s="1"/>
  <c r="F9" i="9" s="1"/>
  <c r="G78" i="4"/>
  <c r="E8" i="9" s="1"/>
  <c r="F8" i="9" s="1"/>
  <c r="G113" i="2"/>
  <c r="G206" i="2" s="1"/>
  <c r="G179" i="7"/>
  <c r="G181" i="7" s="1"/>
  <c r="G128" i="6"/>
  <c r="G179" i="6" s="1"/>
  <c r="G181" i="6" s="1"/>
  <c r="G80" i="4" l="1"/>
  <c r="G185" i="5"/>
  <c r="E7" i="9"/>
  <c r="F7" i="9" s="1"/>
  <c r="E5" i="9"/>
  <c r="F5" i="9" s="1"/>
  <c r="E6" i="9"/>
  <c r="F6" i="9" s="1"/>
  <c r="G208" i="2"/>
  <c r="F1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Wescley</author>
  </authors>
  <commentList>
    <comment ref="E36" authorId="0" shapeId="0" xr:uid="{2A4C3F4C-CB69-42F3-8809-9499A8285AB7}">
      <text>
        <r>
          <rPr>
            <b/>
            <sz val="9"/>
            <color indexed="81"/>
            <rFont val="Segoe UI"/>
            <family val="2"/>
          </rPr>
          <t>Wescley:</t>
        </r>
        <r>
          <rPr>
            <sz val="9"/>
            <color indexed="81"/>
            <rFont val="Segoe UI"/>
            <family val="2"/>
          </rPr>
          <t xml:space="preserve">
Uniformizar as informação em relação a outras planilhas quanto a unidade de medida para M2.</t>
        </r>
      </text>
    </comment>
    <comment ref="D87" authorId="0" shapeId="0" xr:uid="{8434C727-2929-4F2F-89A3-A069D7327515}">
      <text>
        <r>
          <rPr>
            <b/>
            <sz val="9"/>
            <color indexed="81"/>
            <rFont val="Segoe UI"/>
            <family val="2"/>
          </rPr>
          <t>Wescley:</t>
        </r>
        <r>
          <rPr>
            <sz val="9"/>
            <color indexed="81"/>
            <rFont val="Segoe UI"/>
            <family val="2"/>
          </rPr>
          <t xml:space="preserve">
MDSA foi extinto</t>
        </r>
      </text>
    </comment>
    <comment ref="C95" authorId="0" shapeId="0" xr:uid="{EE84FA69-B46B-4F4A-AF19-841C23A5ED74}">
      <text>
        <r>
          <rPr>
            <b/>
            <sz val="9"/>
            <color indexed="81"/>
            <rFont val="Segoe UI"/>
            <family val="2"/>
          </rPr>
          <t>Wescley:</t>
        </r>
        <r>
          <rPr>
            <sz val="9"/>
            <color indexed="81"/>
            <rFont val="Segoe UI"/>
            <family val="2"/>
          </rPr>
          <t xml:space="preserve">
Mesmo item repetido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Wescley</author>
  </authors>
  <commentList>
    <comment ref="E118" authorId="0" shapeId="0" xr:uid="{7CA2DA7D-C048-49C3-B7AE-05B8C4A8320B}">
      <text>
        <r>
          <rPr>
            <b/>
            <sz val="9"/>
            <color indexed="81"/>
            <rFont val="Segoe UI"/>
            <family val="2"/>
          </rPr>
          <t>Wescley:</t>
        </r>
        <r>
          <rPr>
            <sz val="9"/>
            <color indexed="81"/>
            <rFont val="Segoe UI"/>
            <family val="2"/>
          </rPr>
          <t xml:space="preserve">
uniformizar a informação para o m2</t>
        </r>
      </text>
    </comment>
  </commentList>
</comments>
</file>

<file path=xl/sharedStrings.xml><?xml version="1.0" encoding="utf-8"?>
<sst xmlns="http://schemas.openxmlformats.org/spreadsheetml/2006/main" count="3677" uniqueCount="828">
  <si>
    <t>ITEM 1 - HOSPEDAGEM HOTEL 3 ESTRELAS / CONFORTÁVEL</t>
  </si>
  <si>
    <t>SUB-ITEM</t>
  </si>
  <si>
    <t>DESCRIÇÃO</t>
  </si>
  <si>
    <t>DETALHAMENTO</t>
  </si>
  <si>
    <t>QTD.</t>
  </si>
  <si>
    <t>1.1</t>
  </si>
  <si>
    <t>Diária com café da manhã em hotel 3 estrelas </t>
  </si>
  <si>
    <t>Diária</t>
  </si>
  <si>
    <t>ITEM 2 - ALIMENTAÇÃO</t>
  </si>
  <si>
    <t>2.1</t>
  </si>
  <si>
    <t>Água Mineral em garrafas – 500  ml</t>
  </si>
  <si>
    <t>Água mineral, sem gás, em garrafas individuais, 500 ml;</t>
  </si>
  <si>
    <t>Unidade</t>
  </si>
  <si>
    <t>2.2</t>
  </si>
  <si>
    <t>Água Mineral – Garrafão de 20L </t>
  </si>
  <si>
    <t>Garrafões de água mineral de 20 litros e copos descartáveis tipo  para uso em bebedouro. no preço unitário do garrafão devem estar agregados todos os custos acima descritos</t>
  </si>
  <si>
    <t>2.3</t>
  </si>
  <si>
    <t>Almoço / Jantar </t>
  </si>
  <si>
    <t>À americana (bufê) - 02 opções de pratos frios; 02 tipos de carnes (vermelha e branca e/ou pescado), com respectivas guarnições.</t>
  </si>
  <si>
    <t>Por pessoa</t>
  </si>
  <si>
    <t>2.4</t>
  </si>
  <si>
    <t>Garrafa de Café</t>
  </si>
  <si>
    <t>Garrafa térmica com capacidade de 2 litros, contendo copos descartáveis, mexedores, guardanapo, açúcares e adoçante em sachês, pelo período do evento.</t>
  </si>
  <si>
    <t>Litro</t>
  </si>
  <si>
    <t>2.5</t>
  </si>
  <si>
    <t>Coffee Break </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</si>
  <si>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</si>
  <si>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2.6</t>
  </si>
  <si>
    <t>Kit lanche</t>
  </si>
  <si>
    <t>1 (uma) salada de fruta com, no mínimo, 4 variedades de fruta entre maçã, banana, pera, goiaba, uva, melancia, mamão, laranja ou abacaxi;</t>
  </si>
  <si>
    <t>1(um) suco de frutas em embalagem de  200 ml com canudo de uma das seguintes frutas: uva, maracujá, pêssego, manga ou caju;</t>
  </si>
  <si>
    <t>1 (um) sanduíche natural, tamanho tradicional, com presunto, queijo mussarela, patê.</t>
  </si>
  <si>
    <t>1 (um) guardanapo.</t>
  </si>
  <si>
    <t>Opção para lanche para pessoas com restrições alimentares:</t>
  </si>
  <si>
    <t>1 (uma) sala de fruta com, no mínimo, 4 variedades de fruta entre maçã, banana, pera, goiaba, uva, melancia, mamão, laranja ou abacaxi, sem adição de açúcar ou qualquer outro ingrediente.</t>
  </si>
  <si>
    <t>1 (um) suco de frutas diet em embalagem de 200ml;</t>
  </si>
  <si>
    <t>1 (uma) barra de cereal;</t>
  </si>
  <si>
    <t>1 (um) sanduíche diet</t>
  </si>
  <si>
    <t>2.7</t>
  </si>
  <si>
    <t>Petit Four</t>
  </si>
  <si>
    <t>Biscoitos finos de polvilho, amanteigados, biscoitos pequenos recheados com geleias, bolos diversos, pão de queijo, entre outros, nos sabores doce e salgado.</t>
  </si>
  <si>
    <t>KG</t>
  </si>
  <si>
    <t>ITEM 3 - TRANSPORTES - LOCAÇÃO</t>
  </si>
  <si>
    <t>3.1</t>
  </si>
  <si>
    <t>Van</t>
  </si>
  <si>
    <t>Com capacidade para 16 passageiros, com motorista, combustível, ar condicionado, tipo executivo e sistema de sonorização. Adaptado para pessoa com deficiência.</t>
  </si>
  <si>
    <t>Diária de 8 horas e/ou franquia de 100 km</t>
  </si>
  <si>
    <t>3.2</t>
  </si>
  <si>
    <t>Van - Hora extra</t>
  </si>
  <si>
    <t>hora</t>
  </si>
  <si>
    <t>3.3</t>
  </si>
  <si>
    <t>Veículo Executivo </t>
  </si>
  <si>
    <t>Com motorista, quatro portas, sedan, combustível, direção hidráulica, ar condicionado, motor 2.0. Franquia de 100 km. </t>
  </si>
  <si>
    <t>3.4</t>
  </si>
  <si>
    <t>Veículo Executivo - Hora extra</t>
  </si>
  <si>
    <t>Com motorista, quatro portas, sedan, combustível, direção hidráulica, ar condicionado, motor 2.0.</t>
  </si>
  <si>
    <t>ITEM 4 - ESPAÇOS FÍSICOS - LOCAÇÃO</t>
  </si>
  <si>
    <t>4.1</t>
  </si>
  <si>
    <t>Auditório</t>
  </si>
  <si>
    <t>Espaço físico com conforto, em diversos formatos, e em condições adequadas para a instalação de equipamentos de áudio, vídeo, mobiliário, e demais estruturas necessárias para execução do evento.</t>
  </si>
  <si>
    <t>4.2</t>
  </si>
  <si>
    <t>Sala de trabalho ou oficina não modulável</t>
  </si>
  <si>
    <t>4.3</t>
  </si>
  <si>
    <t>Sala para Secretaria</t>
  </si>
  <si>
    <t>4.4</t>
  </si>
  <si>
    <t>Área de credenciamento</t>
  </si>
  <si>
    <t>ITEM 5 - EQUIPAMENTOS / SERVIÇOS</t>
  </si>
  <si>
    <t>5.1</t>
  </si>
  <si>
    <t>Access Point Wireless (Ponto de acesso sem fio)</t>
  </si>
  <si>
    <t>Serviço de locação de equipamento para acesso sem fio simultâneo, num raio de 50m, disponibilizado no local do evento, já inclusos os serviços de provedor, disponibilização de senha e login;</t>
  </si>
  <si>
    <t>Unidade/ Diária</t>
  </si>
  <si>
    <t>5.2</t>
  </si>
  <si>
    <t>Aparelho telefônico</t>
  </si>
  <si>
    <t>Com fio</t>
  </si>
  <si>
    <t>5.3</t>
  </si>
  <si>
    <t>Bebedouro elétrico de chão</t>
  </si>
  <si>
    <t>Bebedouro para garrafão de 20 litros, de chão, que produza no mínimo 1,9 litros de água gelada por hora (temperatura ambiente 32ºC). Gabinete e torneiras confeccionados em plástico de alta resistência, com sistema de refrigeração através de compressor;</t>
  </si>
  <si>
    <t>5.4</t>
  </si>
  <si>
    <t>Cadeira de banho com rodas</t>
  </si>
  <si>
    <t>Dobrável  e até 130kg</t>
  </si>
  <si>
    <t>5.5</t>
  </si>
  <si>
    <t>Cadeira de rodas </t>
  </si>
  <si>
    <t>Cadeira de  rodas especial para deficientes e outras patologias;</t>
  </si>
  <si>
    <t>5.6</t>
  </si>
  <si>
    <t>Caixa de som ativa </t>
  </si>
  <si>
    <t>Caixa de som ativa amplificada de 300W com base e tripé com 2 vias</t>
  </si>
  <si>
    <t>5.7</t>
  </si>
  <si>
    <t>Caixa de som ativa amplificada de 600W com base e tripé com 2 vias</t>
  </si>
  <si>
    <t>5.8</t>
  </si>
  <si>
    <t>Caixa de som ativa de retorno</t>
  </si>
  <si>
    <t>Caixa de som ativa amplificada de 400 WATTS com baser para tripé com 2 vias</t>
  </si>
  <si>
    <t>5.9</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</si>
  <si>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</si>
  <si>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</si>
  <si>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5.10</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</si>
  <si>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</si>
  <si>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</si>
  <si>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5.11</t>
  </si>
  <si>
    <t>Distribuidor VGA / Vídeo e Áudio </t>
  </si>
  <si>
    <t>VGA 4 saídas (MP 3, MP 4, MP 5, DVD, CD e RRW.</t>
  </si>
  <si>
    <t>5.12</t>
  </si>
  <si>
    <t>Extintor de Incêndio – pó químico CO2</t>
  </si>
  <si>
    <t>Pó químico CO2: quando cotado na proposta de preço, deverá ser comprovado que não está contemplada na locação do espaço;</t>
  </si>
  <si>
    <t>5.13</t>
  </si>
  <si>
    <t>Gerador de Energia </t>
  </si>
  <si>
    <t>Locação, montagem, instalação e retirada de conjunto de grupo gerador super silenciado, motor de 150 kva, automático, microprocessado e quadro de transferência, 75 db a 1,5 metro, para funcionamento em regime “contínuo”;</t>
  </si>
  <si>
    <t>5.14</t>
  </si>
  <si>
    <t>Impressora Multifuncional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</si>
  <si>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ou tonner (lacrados), estabilizador e 1 (uma) resma de papel;</t>
  </si>
  <si>
    <t>5.15</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</si>
  <si>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</si>
  <si>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</si>
  <si>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</si>
  <si>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5.16</t>
  </si>
  <si>
    <t>Transmissão via web – streaming</t>
  </si>
  <si>
    <t>Servidor privado e dedicado, licenciado Flash Media Server, alocado em data Center com banda de conexão garantida para até 2.000 conexões simultâneas. SLA 99% up time.</t>
  </si>
  <si>
    <t>diária</t>
  </si>
  <si>
    <t>5.17</t>
  </si>
  <si>
    <t>Maca para emergência </t>
  </si>
  <si>
    <t>Com apoio nas laterais</t>
  </si>
  <si>
    <t>5.18</t>
  </si>
  <si>
    <t>Microfone </t>
  </si>
  <si>
    <t>Sem fio, com bateria, incluir pedestal de mesa ou de chão quando necessário</t>
  </si>
  <si>
    <t>5.19</t>
  </si>
  <si>
    <t>Microfone</t>
  </si>
  <si>
    <t>Gooseneck, para mesa ou púlpito</t>
  </si>
  <si>
    <t>5.20</t>
  </si>
  <si>
    <t>Ponto de internet cabeado e tempo ilimitado</t>
  </si>
  <si>
    <t>Acesso à rede mundial de computadores por banda larga, já incluídos os serviços de provedor e de cabeamento ou mini modem.</t>
  </si>
  <si>
    <t>5.21</t>
  </si>
  <si>
    <t>Extensão elétrica ou régua elétrica </t>
  </si>
  <si>
    <t>Extensão elétrica ou régua elétrica de 5 (cinco) metros com, no mínimo, 5 entradas/tomadas. Quando cotado na proposta de preço, deverá ser comprovado que não está contemplado na locação do espaço físico.</t>
  </si>
  <si>
    <t>5.22</t>
  </si>
  <si>
    <t>Ponto de energia elétrica</t>
  </si>
  <si>
    <t>Ponto de energia elétrica (110 ou 220V) instalado nos ambientes construídos.</t>
  </si>
  <si>
    <t>5.23</t>
  </si>
  <si>
    <t>Projetor de Multimídia</t>
  </si>
  <si>
    <t>Sistema de projeção LCD  resolução Nativa SVGA (800 x 600), resolução suportada XGA (1024 x 728) 1500 Ansi lúmens;</t>
  </si>
  <si>
    <t>5.24</t>
  </si>
  <si>
    <t>Projetor de Multimídia </t>
  </si>
  <si>
    <t>Sistema de projeção LCD  resolução Nativa WXGA (1024 x 1728), resolução suportada XGA (1600 x 1200) - 3000 Ansi Lúmens;</t>
  </si>
  <si>
    <t>5.25</t>
  </si>
  <si>
    <t>Sistema de projeção LCD  resolução Nativa WXGA (1024 x 1728), resolução suportada XGA (1600 x 1200) - 5000 Ansi Lúmens;</t>
  </si>
  <si>
    <t>5.26</t>
  </si>
  <si>
    <t>Sistema de projeção LCD  resolução Nativa WXGA (1024 x 1728), resolução suportada XGA (1600 x 1200) - 10000 Ansi Lúmens;</t>
  </si>
  <si>
    <t>5.27</t>
  </si>
  <si>
    <t>Retroprojetor</t>
  </si>
  <si>
    <t>Com capacidade mínima de 2.500 lumens e 02 lâmpadas;</t>
  </si>
  <si>
    <t>5.28</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</si>
  <si>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</si>
  <si>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</si>
  <si>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5.29</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</si>
  <si>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</si>
  <si>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</si>
  <si>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Hora</t>
  </si>
  <si>
    <t>5.30</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</si>
  <si>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</si>
  <si>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</si>
  <si>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5.31</t>
  </si>
  <si>
    <t>Serviço de elaboração de ATA</t>
  </si>
  <si>
    <t>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degravada.</t>
  </si>
  <si>
    <t>5.32</t>
  </si>
  <si>
    <t>Serviço de Filmagem</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</si>
  <si>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t>
  </si>
  <si>
    <t>Recursos Humanos:</t>
  </si>
  <si>
    <t>03 Cinegrafistas, 01 Operador de Switcher, 03 operadores dos refletores de iluminação e 03 assistentes de câmeras e luzes;</t>
  </si>
  <si>
    <t>5.33</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</si>
  <si>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</si>
  <si>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</si>
  <si>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5.34</t>
  </si>
  <si>
    <t>Serviço de Gravação de CD</t>
  </si>
  <si>
    <t>Serviço de Gravação de CD;</t>
  </si>
  <si>
    <t>5.35</t>
  </si>
  <si>
    <t>Serviço de Gravação de DVD</t>
  </si>
  <si>
    <t>Serviço de Gravação de DVD;</t>
  </si>
  <si>
    <t>5.36</t>
  </si>
  <si>
    <t>Serviço de Gravação em pendrive </t>
  </si>
  <si>
    <t>Serviço de Gravação em predrive de 4GB ou 32GB</t>
  </si>
  <si>
    <t>5.37</t>
  </si>
  <si>
    <t>Serviço de limpeza e conservação</t>
  </si>
  <si>
    <t>Disponibilização  de  serviços de limpeza , quando da realização de evento fora da rede hoteleira, equipe capacitada, devidamente uniformizada, com material completo para limpeza e manutenção do espaço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</si>
  <si>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m²/Diária</t>
  </si>
  <si>
    <t>5.38</t>
  </si>
  <si>
    <t>Serviço de relatoria</t>
  </si>
  <si>
    <t>Profissional capacitado a prestar serviços de digitação com experiência em relatorias de reuniões, seminários, conferências, fóruns e outros eventos.</t>
  </si>
  <si>
    <t>Diária de 8h</t>
  </si>
  <si>
    <t>5.39</t>
  </si>
  <si>
    <t>Serviço de sonorização completa </t>
  </si>
  <si>
    <t>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</si>
  <si>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5.40</t>
  </si>
  <si>
    <t>Serviço de tradução simultânea em  infravermelho</t>
  </si>
  <si>
    <t>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</si>
  <si>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5.41</t>
  </si>
  <si>
    <t>Serviço de tradução simultânea em VHF</t>
  </si>
  <si>
    <t>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</si>
  <si>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5.42</t>
  </si>
  <si>
    <t>Sistema de Controle de inscrições das delegações, convidados, Conferencistas, Relatores, Expositores, Apoio Técnico Operacional, observadores, de emissão de etiquetas, de relatórios, de listas, dentre outros documentos que se fizerem necessários, bem como promover sua implantação e operacionalização, a ser disponibilizado via Web para ser utilizado de forma “on line”. O sistema deverá estar hospedado na estrutura da CONTRATADA, provendo disponibilidade, operação 24 x 7 e possibilitando ao CNAS/MDSA a extração de relatórios diversos com informações da inscrição. O sistema de controle de inscrições deverá ser ajustado e conter as informações conforme definido pela Comissão Organizadora.</t>
  </si>
  <si>
    <t>5.43</t>
  </si>
  <si>
    <t>Swicth</t>
  </si>
  <si>
    <t>Switch 8 portas </t>
  </si>
  <si>
    <t>5.44</t>
  </si>
  <si>
    <t>Swicth </t>
  </si>
  <si>
    <t>Switch 24 portas 10/100</t>
  </si>
  <si>
    <t>5.45</t>
  </si>
  <si>
    <t>Tela para Projeção </t>
  </si>
  <si>
    <t>1,80x2,40, retrátil, altura variável, fundo com napa preta e superfície de projeção BRANCA, e fornecida com tripé em aço;</t>
  </si>
  <si>
    <t>5.46</t>
  </si>
  <si>
    <t>7,00x5,00, retrátil, altura variável, fundo com napa preta e superfície de projeção BRANCA, e fornecida com tripé em aço;</t>
  </si>
  <si>
    <t>5.47</t>
  </si>
  <si>
    <t>Translúcida Lisa  1,80x2,40. Filme adesivado – Flexível, espessura 0,5mm, superfície de micro esferas de vidro replicadas;</t>
  </si>
  <si>
    <t>5.48</t>
  </si>
  <si>
    <t> Translúcida Lisa  5,00x6,00. Filme adesivado – Flexível, espessura 0,5mm, superfície de micro esferas de vidro replicadas;</t>
  </si>
  <si>
    <t>5.49</t>
  </si>
  <si>
    <t>Translúcida Lisa  7,00x5,00. Filme adesivado – Flexível, espessura 0,5mm, superfície de micro esferas de vidro replicadas;</t>
  </si>
  <si>
    <t>5.50</t>
  </si>
  <si>
    <t>5.51</t>
  </si>
  <si>
    <t>TV de 42” </t>
  </si>
  <si>
    <t>TV de LCD/LED de 42” com suporte de chão e tecnologia FULL HD;</t>
  </si>
  <si>
    <t>5.52</t>
  </si>
  <si>
    <t>TV de 52” </t>
  </si>
  <si>
    <t>TV de LCD de 52 polegadas com suporte de chão e tecnologia FULL HD;</t>
  </si>
  <si>
    <t>5.53</t>
  </si>
  <si>
    <t>Vídeo Wall</t>
  </si>
  <si>
    <t>Com tela de LCD, proporção 16:9 sem borda visível. Processador com entradas HDMI, SDI e VGA.</t>
  </si>
  <si>
    <t>m²/diária</t>
  </si>
  <si>
    <t>5.54</t>
  </si>
  <si>
    <t>Webcam/Videocam </t>
  </si>
  <si>
    <t>Webcam Câmera USB 3.0, FHD 1080P, Web Câmera PC com microfone de redução de ruído interno, reuniões on-line, Câmera Plug and Play,  para PC, Desktop ou Lapto</t>
  </si>
  <si>
    <t>ITEM 6 - RECURSOS HUMANOS</t>
  </si>
  <si>
    <t>6.1</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</si>
  <si>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</si>
  <si>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</si>
  <si>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</si>
  <si>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6.2</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</si>
  <si>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</si>
  <si>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t>
  </si>
  <si>
    <t>b) Supervisão da montagem e desmontagem do evento, incluindo a supervisão e implantação de todos os serviços contratados;</t>
  </si>
  <si>
    <t>c) Preparação, organização e distribuição de todo o material no local do evento: crachás / certificados /impressos / pastas /brindes / sinalização e outros;</t>
  </si>
  <si>
    <t>d) Coordenação da montagem das salas para as sessões plenárias, simpósios, mesas redondas, sala dos palestrantes e convidados e da sala de imprensa;</t>
  </si>
  <si>
    <t>e) Coordenação da Sala VIP: Recepção de entrada dos convidados especiais e encaminhamento de convidados à comissão organizadora do evento;</t>
  </si>
  <si>
    <t>f) Coordenação e atendimento dos participantes, convidados e palestrantes, juntamente com a equipe de profissionais selecionados para atendimento em todas as atividades programadas. Organização e controle do cerimonial das sessões de abertura e encerramento;</t>
  </si>
  <si>
    <t>g) Supervisão do controle da entrada no local do evento e nas salas;</t>
  </si>
  <si>
    <t>h) Atendimento e controle de toda a programação, incluindo o atendimento nas salas e respectivos auditórios (distribuição e recolhimento de formulários – perguntas/avaliações / atendimento aos palestrantes e comissões);</t>
  </si>
  <si>
    <t>i) Controle da hospedagem e supervisão dos demais coordenadores do esquema de transporte.</t>
  </si>
  <si>
    <t>Diária de 8 horas</t>
  </si>
  <si>
    <t>6.3</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</si>
  <si>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</si>
  <si>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</si>
  <si>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6.4</t>
  </si>
  <si>
    <t>Garçom</t>
  </si>
  <si>
    <t>Profissional capacitado a prestar serviços de garçom (com uniforme).</t>
  </si>
  <si>
    <t>6.5</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</si>
  <si>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</si>
  <si>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</si>
  <si>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6.6</t>
  </si>
  <si>
    <t>Mestre de Cerimônia</t>
  </si>
  <si>
    <t>Profissional capacitado a prestar serviços de mestre de cerimônias para preparar roteiros e realizar apresentação de eventos e protocolos.</t>
  </si>
  <si>
    <t>6.7</t>
  </si>
  <si>
    <t>Operador de equipamentos audiovisuais</t>
  </si>
  <si>
    <t>Profissional devidamente capacitado a operar aparelhos audiovisuais, computadores e demais aparelhos eletroeletrônicos a serem utilizados durante os eventos. </t>
  </si>
  <si>
    <t>6.8</t>
  </si>
  <si>
    <t>Operador de Som</t>
  </si>
  <si>
    <t>Profissional capacitado para operar em equipamentos de som.</t>
  </si>
  <si>
    <t>6.9</t>
  </si>
  <si>
    <t>Recepcionista Bilíngue</t>
  </si>
  <si>
    <t>Profissional capacitado a prestar serviço de recepção e distribuição de materiais em 2 (dois) idiomas comuns a serem definidos pelo contratante;</t>
  </si>
  <si>
    <t>6.10</t>
  </si>
  <si>
    <t>Recepcionista Português</t>
  </si>
  <si>
    <t>Profissional capacitado a prestar serviço de recepção e distribuição de materiais;</t>
  </si>
  <si>
    <t>6.11</t>
  </si>
  <si>
    <t>Recepcionista trilíngue</t>
  </si>
  <si>
    <t>Profissional capacitado a prestar serviço de recepção e distribuição de materiais em 3 (três) idiomas a serem definidos pelo contratante;</t>
  </si>
  <si>
    <t>6.12</t>
  </si>
  <si>
    <t>Técnico de equipamentos audiovisuais e som</t>
  </si>
  <si>
    <t>Profissional devidamente capacitado para realização de montagem, desmontagem e manutenção de aparelhos audiovisuais, computadores e demais aparelhos eletroeletrônicos a serem utilizados durante os eventos;</t>
  </si>
  <si>
    <t>6.13</t>
  </si>
  <si>
    <t>Técnico em Tecnologia da Informação - TI</t>
  </si>
  <si>
    <t>Profisisional devidamente capacitado para realização de manutenção e suporte durante toda a realização do evento.</t>
  </si>
  <si>
    <t>6.14</t>
  </si>
  <si>
    <t>Técnico para o sistema de credenciamento</t>
  </si>
  <si>
    <t>Técnico qualificado e familiarizado com o Sistema de Credenciamento </t>
  </si>
  <si>
    <t>6.15</t>
  </si>
  <si>
    <t>Tradutor de Texto</t>
  </si>
  <si>
    <t>Disponibilização de profissional capacitado para a realização de serviços de tradução de texto do português para os Idiomas: Inglês, Espanhol, Francês, Alemão, Mandarim e/ou Japonês. E desses idiomas, para o português. (padrão/média).</t>
  </si>
  <si>
    <t>lauda (1000 caracteres)</t>
  </si>
  <si>
    <t>6.16</t>
  </si>
  <si>
    <t>Tradutor Simultâneo de idiomas básicos</t>
  </si>
  <si>
    <t>Apresentar profissionais com experiência comprovada em tradução simultânea/ idiomas básicos (inglês, francês, espanhol e alemão, por exemplo);</t>
  </si>
  <si>
    <t>ITEM 7 - MONTAGEM E INSTALAÇÕES ADICIONAIS </t>
  </si>
  <si>
    <t>7.1</t>
  </si>
  <si>
    <t>Armário </t>
  </si>
  <si>
    <t>Em forma de balcão, com divisórias, MDF com chave - 3m x 1m</t>
  </si>
  <si>
    <t>7.2</t>
  </si>
  <si>
    <t>Balcão recepção</t>
  </si>
  <si>
    <t>Balcão para recepção/ informação com 2m x 0,50 profundidade x 1m altura. estrutura com testeira adesivada elevada a 2,20m de altura;</t>
  </si>
  <si>
    <t>7.3</t>
  </si>
  <si>
    <t>Bandeira</t>
  </si>
  <si>
    <t>Bandeira de mesa de Países/ Estados. Medindo 16 x 11 cm. suporte e mastro em madeira envernizada;</t>
  </si>
  <si>
    <t>7.4</t>
  </si>
  <si>
    <t>Banner</t>
  </si>
  <si>
    <t>Diagramação, arte final e impressão em vinil em lona vinílica, adesivo 4/0 cores, com resolução mínima de 300 dpi, acabamento com ilhoes e/ou fita de silicone com tubetes, ponteiras e cordão. Confecção de banner, impressão digital em  sanlux, com acabamento em madeira e ponteiras plásticas ou com ilhóes e braçadeiras de fixação para box truss, metalon ou suporte móvel, com tripé. </t>
  </si>
  <si>
    <t>m²/ Diária</t>
  </si>
  <si>
    <t>7.5</t>
  </si>
  <si>
    <t>Banqueta para balcão de recepção</t>
  </si>
  <si>
    <t>Banqueta para balcão de recepção secretaria;</t>
  </si>
  <si>
    <t>7.6</t>
  </si>
  <si>
    <t>Box Truss</t>
  </si>
  <si>
    <t>Estrutura treliçada, confeccionada em alumínio, leve e de alta resistência;</t>
  </si>
  <si>
    <t>metro linear/dia</t>
  </si>
  <si>
    <t>7.7</t>
  </si>
  <si>
    <t>Cadeira fixa com braço estofada</t>
  </si>
  <si>
    <t>Cadeiras com braço, com encosto, estofadas em tecido ou similar;</t>
  </si>
  <si>
    <t>7.8</t>
  </si>
  <si>
    <t>Cadeira fixa sem braço estofada</t>
  </si>
  <si>
    <t>Cadeiras sem braço, com encosto, estofadas em tecido ou similar;</t>
  </si>
  <si>
    <t>7.9</t>
  </si>
  <si>
    <t>Cadeira Universitária </t>
  </si>
  <si>
    <t>Cadeira com prancheta (tipo universitária);</t>
  </si>
  <si>
    <t>7.10</t>
  </si>
  <si>
    <t>Estande</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</si>
  <si>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</si>
  <si>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7.11</t>
  </si>
  <si>
    <t>Fundo de Palco</t>
  </si>
  <si>
    <t>Diagramação, arte final e impressão e vinil em lona vinílica, adesivo 4/0 cores, com resolução mínima de 300 dpi, acabamento com ilhoes e/ou fita de silicone com tubetes, ponteiras e cordão.</t>
  </si>
  <si>
    <t>7.12</t>
  </si>
  <si>
    <t>Lixeira para área interna</t>
  </si>
  <si>
    <t>Lixeiras aço inox 21x46cm; com saco de lixo, identificação externa para segregação de tipos diferentes de resíduos, capacidade 5, 15 ou 30L.</t>
  </si>
  <si>
    <t>7.13</t>
  </si>
  <si>
    <t>Lixeira sustentável</t>
  </si>
  <si>
    <t>Para coleta seletiva do lixo (metal, papel, plástico, orgânico e vidro). Com saco de lixo. Tamanho de 100L</t>
  </si>
  <si>
    <t>7.14</t>
  </si>
  <si>
    <t>Pranchão com toalha</t>
  </si>
  <si>
    <t>Montada com material tipo pranchão em formato padronizado octanorme, com toalha  em tecido para a mesa;</t>
  </si>
  <si>
    <t>7.15</t>
  </si>
  <si>
    <t>Mesa Diretora para até 15 pessoas</t>
  </si>
  <si>
    <t>Montagem de mesa diretiva para eventos, mobiliário, toalhas, sobre toalhas;</t>
  </si>
  <si>
    <t>7.16</t>
  </si>
  <si>
    <t>Mesa para microcomputador</t>
  </si>
  <si>
    <t>Mesa/bancada para impressora, laminadas com toalha</t>
  </si>
  <si>
    <t>7.17</t>
  </si>
  <si>
    <t>Mesa redonda em madeira para até 8 lugares </t>
  </si>
  <si>
    <t>Mesa em madeira para até 8 pessoas, estando incluso no preço o móvel e a toalha;</t>
  </si>
  <si>
    <t>7.18</t>
  </si>
  <si>
    <t>Mesa redonda simples</t>
  </si>
  <si>
    <t>Mesa em madeira ou vidro, para até 4 pessoas, estando incluso no preço o móvel e a toalha;</t>
  </si>
  <si>
    <t>7.19</t>
  </si>
  <si>
    <t>Mesa de apoio</t>
  </si>
  <si>
    <t>Mesas de apoio, em madeira; com toalha, suportando carga de até 120 kg. Comporta até 4 pessoas.</t>
  </si>
  <si>
    <t>7.20</t>
  </si>
  <si>
    <t>Painel</t>
  </si>
  <si>
    <t>Montado em sistema padronizado em octanorme, madeira ou vidro com iluminação</t>
  </si>
  <si>
    <t>7.21</t>
  </si>
  <si>
    <t>Pano para placa de descerramento </t>
  </si>
  <si>
    <t>Pano para placa de descerramento, em veludo verde, com torçal e roseta;</t>
  </si>
  <si>
    <t>7.22</t>
  </si>
  <si>
    <t>Placa de sinalização</t>
  </si>
  <si>
    <t>Metalon (chapa) com pintura branca para fixação do adesivo e iluminação</t>
  </si>
  <si>
    <t>m²</t>
  </si>
  <si>
    <t>7.23</t>
  </si>
  <si>
    <t>Praticável ou Tablado de madeira ou piso carpetado</t>
  </si>
  <si>
    <t>Em madeira elevado c/ 10cm estruturado, nivelado, com escadas e uma rampa com corrimão, acabamentos e rodapés.</t>
  </si>
  <si>
    <t>m2/dia</t>
  </si>
  <si>
    <t>7.24</t>
  </si>
  <si>
    <t>Púlpito</t>
  </si>
  <si>
    <t>Em acrílico ou em madeira, quando cotado na proposta de preço, não poderá está contemplado na locação do espaço;</t>
  </si>
  <si>
    <t>7.25</t>
  </si>
  <si>
    <t>Sofá -2 lugares</t>
  </si>
  <si>
    <t>Módulo estofado de 2 lugares, padrão superior;</t>
  </si>
  <si>
    <t>7.26</t>
  </si>
  <si>
    <t>Tapete Sanitizante</t>
  </si>
  <si>
    <t>Medindo no mínimo 2 x 1 m para fins de higienização de calçados. Devem estar umidificados com água sanitária e deve haver constante reposição, toda vez que secar.</t>
  </si>
  <si>
    <t>Unidade / Diária</t>
  </si>
  <si>
    <t>7.27</t>
  </si>
  <si>
    <t>Unifila</t>
  </si>
  <si>
    <t>Unifila cromados (pedestais com cordão de isolamento retrátil)</t>
  </si>
  <si>
    <t>ITEM 8 - DECORAÇÃO E SINALIZAÇÃO</t>
  </si>
  <si>
    <t>8.1</t>
  </si>
  <si>
    <t>Cone</t>
  </si>
  <si>
    <t>Cones diversas cores, de tamanhos grande, médio ou pequeno.</t>
  </si>
  <si>
    <t>8.2</t>
  </si>
  <si>
    <t>Totem Álcool em Gel</t>
  </si>
  <si>
    <t>8.3</t>
  </si>
  <si>
    <t>Totem de sinalização</t>
  </si>
  <si>
    <t>Criação, confecção, impressão, transporte, montagem e retirada de  totem acrílico/vinil em quatro cores, com ou sem iluminação, para sinalização.</t>
  </si>
  <si>
    <t>ITEM 9 - MATERIAIS </t>
  </si>
  <si>
    <t>9.1</t>
  </si>
  <si>
    <t>Flip Chart </t>
  </si>
  <si>
    <t>Com suporte tipo cavalete e bloco com mínimo de 50 folhas,  incluindo 2 pincéis atômicos (azul e vermelho);</t>
  </si>
  <si>
    <t>9.2</t>
  </si>
  <si>
    <t>Ponteira Laser - Tipo II</t>
  </si>
  <si>
    <t>Integra laser, com funções de avançar e retroceder slides com tecnologia sem fio.</t>
  </si>
  <si>
    <t>ITEM 10 - ASSISTÊNCIA MÉDICA</t>
  </si>
  <si>
    <t>10.1</t>
  </si>
  <si>
    <t>Serviço de Atendimento Médico -UTI/Móvel</t>
  </si>
  <si>
    <t>UTI - Móvel no local do evento, equipada com todos os aparelhos e toda medicação necessária para enfrentar as emergências clínicas e de traumas, liderada por Médico Intensivista, com apoio de Técnico de Enfermagem e Motorista treinado em primeiros socorros. Os serviços devem compreender a Assistência de Pronto Socorro Móvel de Emergências e Urgências Médicas aos participantes do evento, e eventuais deslocamentos de paciente até um centro hospitalar</t>
  </si>
  <si>
    <t>Diária 6h</t>
  </si>
  <si>
    <t>UNIDADE DE MEDIDA</t>
  </si>
  <si>
    <t>TOTAL ITEM 1</t>
  </si>
  <si>
    <t>TOTAL ITEM 2</t>
  </si>
  <si>
    <t>TOTAL ITEM 3</t>
  </si>
  <si>
    <t>TOTAL ITEM 4</t>
  </si>
  <si>
    <t>TOTAL ITEM 5</t>
  </si>
  <si>
    <t>TOTAL ITEM 6</t>
  </si>
  <si>
    <t>TOTAL ITEM 7</t>
  </si>
  <si>
    <t>A reposição do álcool em gel deve ser constante, sempre que acabar.</t>
  </si>
  <si>
    <t>TOTAL ITEM 8</t>
  </si>
  <si>
    <t>TOTAL ITEM 9</t>
  </si>
  <si>
    <t>TOTAL ITEM 10</t>
  </si>
  <si>
    <t>Água Mineral - Copos individuais – 200 ml</t>
  </si>
  <si>
    <t>Copo individual de água mineral, sem gás - gelada ou natural</t>
  </si>
  <si>
    <t>Brunch </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</si>
  <si>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</si>
  <si>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Coffee Break</t>
  </si>
  <si>
    <t>Coquetel  </t>
  </si>
  <si>
    <t>a)  Suco de fruta (03 tipos);</t>
  </si>
  <si>
    <t>b) Refrigerante (02 tipos);</t>
  </si>
  <si>
    <t>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</si>
  <si>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2.8</t>
  </si>
  <si>
    <t>Kg</t>
  </si>
  <si>
    <t>Com motorista, quatro portas, sedan, combustível, direção hidráulica, ar condicionado, tipo executivo, motor 2.0.</t>
  </si>
  <si>
    <t>Espaço físico com conforto, em diversos formatos, e em condições adequadas para a instalação de equipamentos de áudio, vídeo, mobiliário, e demais estruturas necessárias para execução do credenciamento do evento.</t>
  </si>
  <si>
    <t>Aparelho de DVD</t>
  </si>
  <si>
    <t>Aparelho dvd player e gravador;</t>
  </si>
  <si>
    <t>Bebedouro para garrafão de 20 litros, de chão, que produza no mínimo 1,9 litros de água gelada por hora (temperatura ambiente 32ºC). Gabinete e torneiras confeccionados em plástico de alta resistência, com sistema de refrigeração através de compressor; contendo copos descartáveis.</t>
  </si>
  <si>
    <t>Cadeira de  rodas especial para portadores de necessidades especiais e outras patologias;</t>
  </si>
  <si>
    <t>Caixa de som ativa amplificada de 400W com baser para tripé com 2 vias</t>
  </si>
  <si>
    <t>Configuração Mínima: Processador de 2.9 GHz, Memória RAM: 8 GB, Disco rígido (HD): 1 TB, Unidade óptica: Gravador de DVD/CD, 04 Interfaces USB Traseira e 02 Frontais, Placa de rede: Integrada 10/100 Mbit, placa wireless PCI interna, Mouse óptico, Teclado padrão ABNT, Monitor de LCD 17 ou superior”, Estabilizador para computador – 300VA. Softwares - Windows 7 ou superior, Pacote Office, Mozila Firefox e google chrome última versão instalados, aplicativos de descompactador de argiovos. </t>
  </si>
  <si>
    <t>Configuração Mínima: Processador de 2.9 GHz, Memória RAM: 8 GB, Disco rígido (HD): 1 TB, Unidade óptica: Gravador de DVD/CD, 04 Interfaces USB Traseira e 02 Frontais, Placa de rede: Integrada 10/100 Mbit, wireless 801.11, com monitor de 15 polegadas ou superior; Softwares - Windows 7 ou superior, Pacote Office, Mozila Firefox e google chrome última versão instalados, aplicativos de descompactador de argiovos. </t>
  </si>
  <si>
    <t>Locação, montagem, instalação e retirada de conjunto de grupo gerador super silenciado, motor de 150 kva, automático, microprocessado e quadro de transferência, 75 db a 1,5 metro, para funcionamento em regime “contínuo”.</t>
  </si>
  <si>
    <t>Gerador de Energia</t>
  </si>
  <si>
    <t>Locação, montagem, instalação e retirada de conjunto de grupo gerador super silenciado motor de 450/kva, microprocessado e quadro de transferência, 75 db a 1,5 metro, para funcionamento em regime “contínuo”.</t>
  </si>
  <si>
    <t>Com fio, incluir pedestal de mesa ou de chão quando necessário</t>
  </si>
  <si>
    <t>Painel LED</t>
  </si>
  <si>
    <t>Montagem de painel led de alta definição, em estrutura de quadro de alumínio, nível de projeção ip42, fonte de alimentação e todos os equipamentos necessários para sua devida utilização; O custo deve contemplar transporte, montagem, desmontagem, operação do equipamento e seguro (se for o caso), </t>
  </si>
  <si>
    <t>Acesso à rede mundial de computadores por banda larga, já incluídos os serviços de provedor, conectores, de cabeamento e todo material necessário.</t>
  </si>
  <si>
    <t>Por ponto/diária</t>
  </si>
  <si>
    <t>Ponto de energia elétrica (110 ou 220V) instalado nos ambientes construídos, para tomadas e extensões elétricas ou régua elétrica de 10 (dez) metros com, no mínimo, 5 entradas/tomadas. Quando cotado na proposta de preço, deverá ser comprovado que não está contemplado na locação do espaço físico.</t>
  </si>
  <si>
    <t>O equipamento utilizado na gravação de som deverá possuir recursos para apresentar o produto final com qualidade digital em mídia CD/DVD/PEN-DRIVE. O serviço inclui recursos humanos capacitados e materiais suficientes para a perfeita execução do serviço;</t>
  </si>
  <si>
    <t>Serviço de Gravação do evento em CD</t>
  </si>
  <si>
    <t>Serviço de Gravação do evento em DVD</t>
  </si>
  <si>
    <t>Serviço de Gravação do evento em predrive </t>
  </si>
  <si>
    <t>Serviço de limpeza área interna</t>
  </si>
  <si>
    <t>Disponibilização  de  serviços de limpeza , quando da realização de evento fora da rede hoteleira, equipe capacitada devidamente uniformizada,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</si>
  <si>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sonorização completa</t>
  </si>
  <si>
    <t>Translúcida Lisa  1,80m x 2,40m. Filme adesivado – Flexível, espessura 0,5mm, superfície de micro esferas de vidro replicadas; com tripé.</t>
  </si>
  <si>
    <t>Tela para Projeção</t>
  </si>
  <si>
    <t> Translúcida Lisa  5,00m x 6,00m. Filme adesivado – Flexível, espessura 0,5mm, superfície de micro esferas de vidro replicadas; com tripé.</t>
  </si>
  <si>
    <t>Translúcida Lisa  7,00m x 5,00m. Filme adesivado – Flexível, espessura 0,5mm, superfície de micro esferas de vidro replicadas; com tripé.</t>
  </si>
  <si>
    <t>TV de LCD/LED de 42 polegadas com suporte de chão, cabeamento para conexão e tecnologia FULL HD; com ou sem pedestal</t>
  </si>
  <si>
    <t>TV de LCD de 52 polegadas com suporte de chão, cabeamento para conexão e tecnologia FULL HD; com e sem pedestal</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</si>
  <si>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</si>
  <si>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</si>
  <si>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Eletricista</t>
  </si>
  <si>
    <t>Profissional capacitado para prestar serviços de eletricista.</t>
  </si>
  <si>
    <t>Operador de iluminação</t>
  </si>
  <si>
    <t>Profissional capacitado para operar em equipamentos de iluminação.</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</si>
  <si>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</si>
  <si>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</si>
  <si>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</si>
  <si>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</si>
  <si>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6.17</t>
  </si>
  <si>
    <t>6.18</t>
  </si>
  <si>
    <t>Técnico de iluminação</t>
  </si>
  <si>
    <t>Profissional capacitado a prestar serviços de suporte e manutenção em equipamentos de iluminação;</t>
  </si>
  <si>
    <t>6.19</t>
  </si>
  <si>
    <t>6.20</t>
  </si>
  <si>
    <t>Tradutor Simultâneo de idiomas</t>
  </si>
  <si>
    <t>Apresentar profissionais com experiência comprovada em tradução simultânea/ idiomas necessários no evento.</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</si>
  <si>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</si>
  <si>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</si>
  <si>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</si>
  <si>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</si>
  <si>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</si>
  <si>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</si>
  <si>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</si>
  <si>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Diária </t>
  </si>
  <si>
    <t>Armário</t>
  </si>
  <si>
    <t>Em forma de balcão MDF com chave - 3m x 1m</t>
  </si>
  <si>
    <t>Tipo guarda-volumes aberto com dimensão 2m x 2m x 0,60m</t>
  </si>
  <si>
    <t>Arranjo de Flores </t>
  </si>
  <si>
    <t>Tipo jardineira para mesa plenária (em tamanho/altura compatível com a mesa);</t>
  </si>
  <si>
    <t>Metro Linear</t>
  </si>
  <si>
    <t>Em tripés com flores naturais e tropicais;</t>
  </si>
  <si>
    <t>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</si>
  <si>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</si>
  <si>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</si>
  <si>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</si>
  <si>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vitrine </t>
  </si>
  <si>
    <t>Balcão vitrine com prateleiras, portas de correr e chaves;</t>
  </si>
  <si>
    <t>Países/ Estados/ Municípios, tamanho 4 panos, mastro com suporte e ponteira, ou panóplia com mastros e ponteiras, devidamente passadas, pronta para o uso;</t>
  </si>
  <si>
    <t>Unidade/Diária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</si>
  <si>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</si>
  <si>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</si>
  <si>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</si>
  <si>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Banqueta para balcão de recepção.</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</si>
  <si>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</si>
  <si>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</si>
  <si>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</si>
  <si>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</si>
  <si>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metro linear/diária</t>
  </si>
  <si>
    <t>Cachepô</t>
  </si>
  <si>
    <t>Em madeira para montagem de paisagismo;</t>
  </si>
  <si>
    <t>Cadeira</t>
  </si>
  <si>
    <t>Cadeira de plástico pvc, com braço na cor branco;</t>
  </si>
  <si>
    <t>Climatizador de Ar</t>
  </si>
  <si>
    <t>Feita por refrigeração com máquinas de ar condicionado tipo TR com dutos metálicos para distribuição de ar frio nos ambientes. Ar condicionado de 20.000 BTUs, com Selo Procel de Eficiência Energética.</t>
  </si>
  <si>
    <t>Console/Mesa de som</t>
  </si>
  <si>
    <t>Mesa de som para intérpretes/adequados às necessidades do evento, para atender. Serviço de sonorização com equipamentos em quantidade e especificação suficiente para a projeção de som no ambiente físico.</t>
  </si>
  <si>
    <t>Cobertura</t>
  </si>
  <si>
    <t>Montada em estrutura metálica e fechamentos laterais, e cotada para os materiais: Lona vinílica branca e plástico transparente);</t>
  </si>
  <si>
    <t>m²/dia</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</si>
  <si>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</si>
  <si>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</si>
  <si>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7.28</t>
  </si>
  <si>
    <t>Estandarte</t>
  </si>
  <si>
    <t>Customizado de tecido, com material alternativo, impressão 4 cores e com acabamento de suporte em madeira.</t>
  </si>
  <si>
    <t>7.29</t>
  </si>
  <si>
    <t>7.30</t>
  </si>
  <si>
    <t>Fita de inauguração, em gorgorão</t>
  </si>
  <si>
    <t>Fita de inauguração, em gorgorão, nas cores verde e amarela;</t>
  </si>
  <si>
    <t>7.31</t>
  </si>
  <si>
    <t>Fita de isolamento, tipo zebrada</t>
  </si>
  <si>
    <t>Fita de isolamento, tipo zebrada com 200mx70mm;</t>
  </si>
  <si>
    <t>7.32</t>
  </si>
  <si>
    <t>Forração em carpete</t>
  </si>
  <si>
    <t>Com 4mm de espessura</t>
  </si>
  <si>
    <t>7.33</t>
  </si>
  <si>
    <t>7.34</t>
  </si>
  <si>
    <t>Lixeira sustentável para área externa</t>
  </si>
  <si>
    <t>Para coleta seletiva do lixo, com saco plástico e identificação externa (metal, papel, plástico, orgânico e vidro). Com saco de lixo. Tamanho de 100L</t>
  </si>
  <si>
    <t>7.35</t>
  </si>
  <si>
    <t>Malha Tencionada</t>
  </si>
  <si>
    <t>Para decoração de ambientes</t>
  </si>
  <si>
    <t>7.36</t>
  </si>
  <si>
    <t>7.37</t>
  </si>
  <si>
    <t>7.38</t>
  </si>
  <si>
    <t>Mesa de reunião para até 30 pessoas</t>
  </si>
  <si>
    <t>Montada com material tipo pranchão em formato padronizado octanorme, com toalha em tecido  para a mesa;</t>
  </si>
  <si>
    <t>7.39</t>
  </si>
  <si>
    <t>7.40</t>
  </si>
  <si>
    <t>Mesa/bancada para computador e/ou impressora, laminadas na cor branca; com toalha.</t>
  </si>
  <si>
    <t>7.41</t>
  </si>
  <si>
    <t>Mesa em madeira para até 8 pessoas, estando incluso no preço as cadeiras e a toalha;</t>
  </si>
  <si>
    <t>7.42</t>
  </si>
  <si>
    <t>Fundo de Palco </t>
  </si>
  <si>
    <t>Fundo de palco em lona vinílica,  4/0 cores, sem limite de largura e altura com aplicação de ilhós para fixação com abraçadeiras plásticas (tirap), incluindo estrutura Box Trans Q15.</t>
  </si>
  <si>
    <t>7.43</t>
  </si>
  <si>
    <t>7.44</t>
  </si>
  <si>
    <t>Pano para placa de descerramento, em veludo verde ou azul, com torçal e roseta;</t>
  </si>
  <si>
    <t>7.45</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</si>
  <si>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</si>
  <si>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</si>
  <si>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7.46</t>
  </si>
  <si>
    <t>7.47</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</si>
  <si>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</si>
  <si>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</si>
  <si>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7.48</t>
  </si>
  <si>
    <t>Poltrona</t>
  </si>
  <si>
    <t>Com estrutura em madeira, revestida com espuma de poliuretano, manta acrílica e acabamento em couro sintético. Cor a ser escolhida pelo Ministério da Cidadania.</t>
  </si>
  <si>
    <t>7.49</t>
  </si>
  <si>
    <t>Pórtico</t>
  </si>
  <si>
    <t>Em bambu ou material similar, acabamento especial e base.  Com testeira contendo recorte e aplicação de programação visual (Adesivos ou recortes) em quatro cores ou relevo. </t>
  </si>
  <si>
    <t>7.50</t>
  </si>
  <si>
    <t>Estrutura de ferro/alumínio com suporte de até 1000/1500kg, com autorização ART e CB, com piso estruturado em madeira nivelado, forrado com carpete com 0,10 a 1,30 m de altura, com 02 escadas e 01 rampa, com protetores laterais ou corrimão, com acabamento e rodapés; com ou sem cobertura. Montagem e desmontagem.</t>
  </si>
  <si>
    <t>7.51</t>
  </si>
  <si>
    <t>Prisma em acrílico</t>
  </si>
  <si>
    <t>Prisma acrílico transparente no tamanho de 30 cm cumprimento por 11 cm altura;</t>
  </si>
  <si>
    <t>7.52</t>
  </si>
  <si>
    <t>7.53</t>
  </si>
  <si>
    <t>Tapete </t>
  </si>
  <si>
    <t>Medindo no mínimo 2 x 1,5, para ambientação</t>
  </si>
  <si>
    <t>7.54</t>
  </si>
  <si>
    <t>7.55</t>
  </si>
  <si>
    <t>Tenda Fechada - 10X10 -Pé direito 2,50m</t>
  </si>
  <si>
    <t>Ser moduláveis com vãos livres e lonas impermeáveis, anti-chama e blackout, com estrutura em perfil de alumínio;</t>
  </si>
  <si>
    <t>7.56</t>
  </si>
  <si>
    <t>Tenda Fechada - 20X20 -Pé direito 2,50m</t>
  </si>
  <si>
    <t>7.57</t>
  </si>
  <si>
    <t>Tenda Fechada - 5X5 -Pé direito 2,50m</t>
  </si>
  <si>
    <t>7.58</t>
  </si>
  <si>
    <t>Tenda Fechada - 6X6 -Pé direito 2,50m</t>
  </si>
  <si>
    <t>7.59</t>
  </si>
  <si>
    <t>Tenda Fechada -8X8 -Pé direito 2,50m</t>
  </si>
  <si>
    <t>7.60</t>
  </si>
  <si>
    <t>Tenda Modelo Galpão -Pé direito 4,0m</t>
  </si>
  <si>
    <t>7.61</t>
  </si>
  <si>
    <t>Tenda Modelo Pirâmide</t>
  </si>
  <si>
    <t>7.62</t>
  </si>
  <si>
    <t>Testeira para aplicação de programação visual</t>
  </si>
  <si>
    <t>Testeira para aplicação de programação visual;</t>
  </si>
  <si>
    <t>7.63</t>
  </si>
  <si>
    <t>Túnel Gel Space</t>
  </si>
  <si>
    <t>Com estrutura em madeira ou similar, cobertura de lona vinilínica e fechamento lateral com plástico transparente;</t>
  </si>
  <si>
    <t>7.64</t>
  </si>
  <si>
    <t>Túnel/Passarela</t>
  </si>
  <si>
    <t>7.65</t>
  </si>
  <si>
    <t>Divisores de fluxo para isolamento com fita retrátil e pedestal cromado. Torretas cromadas, pedestais com cordão de isolamento retrátil.</t>
  </si>
  <si>
    <t>7.66</t>
  </si>
  <si>
    <t>Ventilador</t>
  </si>
  <si>
    <t>Tipo Turbo Silêncio, mínimo de três velocidades com mínimo de 30 cm, de diâmetro;</t>
  </si>
  <si>
    <t>Arranjo de flor com folhagem em cachepot </t>
  </si>
  <si>
    <t>Arranjo de flor e folhagem natural com cachepot para bufê (altura mínima 60cm)</t>
  </si>
  <si>
    <t>Elaboração de programação visual</t>
  </si>
  <si>
    <t>Serviço especializado de organização de toda a programação visual dos espaços do eventos. Profissional de programação visual capacitado para a realização de serviços de criação de identidade visual para aplicações diversas e de material gráfico (convites, folders, revistas, folhetos, flyers, bâneres etc.) ou conteúdo digital em 3D</t>
  </si>
  <si>
    <t>Faixa de lona vinílica</t>
  </si>
  <si>
    <t>Faixa, tipo saia, em lona vinílica personalizada, para impressão 4/0 cores, com resolução mínima de 300 dpi, sem limite de largura e altura, acabamento com tubetes, cordão ou ilhós sujeito à aprovação.</t>
  </si>
  <si>
    <t>metro quadrado</t>
  </si>
  <si>
    <t>8.4</t>
  </si>
  <si>
    <t>Grades de proteção em tubo galvanizado</t>
  </si>
  <si>
    <t>Grades em ferro para segurança e separação dos espaços em eventos. Fabricados com estrutura em aço galvanizado com ou sem requadro de ferro redondo ou cantoneira.</t>
  </si>
  <si>
    <t>8.5</t>
  </si>
  <si>
    <t>Totem alto padrão.</t>
  </si>
  <si>
    <t>8.6</t>
  </si>
  <si>
    <t>8.7</t>
  </si>
  <si>
    <t>Vaso ornamental com folhagem</t>
  </si>
  <si>
    <t>Vaso ornamental com folhagem e flores naturais (altura mínima 1,50m)</t>
  </si>
  <si>
    <t>Ponteira Laser </t>
  </si>
  <si>
    <t>Médico clínico geral</t>
  </si>
  <si>
    <t>Profissional treinado e capacitado para atuar na prevenção e combate a eventuais danos à saúde e prestar os primeiros socorros, dentro de uma área preestabelecida, com experiência comprovada.</t>
  </si>
  <si>
    <t>24h</t>
  </si>
  <si>
    <t>10.2</t>
  </si>
  <si>
    <t>Médico pronto-socorrista</t>
  </si>
  <si>
    <t>10.3</t>
  </si>
  <si>
    <t>Pára-médico</t>
  </si>
  <si>
    <t>10.4</t>
  </si>
  <si>
    <t>Técnico em enfermagem</t>
  </si>
  <si>
    <t>10.5</t>
  </si>
  <si>
    <t>UTI - Móvel no local do evento, equipada com todos os aparelhos e toda medicação necessária para enfrentar as emergências clínicas e de traumas, liderada por Médico Intensivista, com apoio de Técnico de Enfermagem e Motorista treinado em primeiros socorros. Os serviços devem compreender a Assistência de Pronto Socorro Móvel de Emergências e Urgências Médicas aos participantes do evento, e eventuais deslocamentos de paciente até um centro hospitalar.</t>
  </si>
  <si>
    <t>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</si>
  <si>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ITEM 2 - ALIMENTAÇÃO FORA DO AMBIENTE HOTELEIRO</t>
  </si>
  <si>
    <t>Coquetel</t>
  </si>
  <si>
    <t>Garrafas térmicas com capacidade de 2 litros com copos descartáveis, mexedores, guardanapo, açúcares e adoçante em sachês pelo período dos eventos;</t>
  </si>
  <si>
    <t>Garrafa</t>
  </si>
  <si>
    <t>m2/ Dia</t>
  </si>
  <si>
    <t>Arara</t>
  </si>
  <si>
    <t>Arara de apoio</t>
  </si>
  <si>
    <t>m2</t>
  </si>
  <si>
    <t>Servidor privado e dedicado, licenciado Flash Media Server, alocado em data Center com banda de conexão garantida a conexões simultâneas. SLA 99% up time.</t>
  </si>
  <si>
    <r>
      <t>m</t>
    </r>
    <r>
      <rPr>
        <vertAlign val="superscript"/>
        <sz val="12"/>
        <color rgb="FF000000"/>
        <rFont val="Calibri"/>
        <family val="2"/>
      </rPr>
      <t>2</t>
    </r>
    <r>
      <rPr>
        <sz val="12"/>
        <color rgb="FF000000"/>
        <rFont val="Calibri"/>
        <family val="2"/>
      </rPr>
      <t>/diária</t>
    </r>
  </si>
  <si>
    <t>Gooseneck ou similar</t>
  </si>
  <si>
    <t>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</si>
  <si>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Serviço de Gravação do evento em CD;</t>
  </si>
  <si>
    <t>Serviço de Gravação do evento em DVD;</t>
  </si>
  <si>
    <t>Serviço de Gravação em predrive 32GB</t>
  </si>
  <si>
    <t>Tela de Projeção </t>
  </si>
  <si>
    <t>Translúcida Rígida  60” (124 x 94). Base de acrílico Anti-brilho / Anti-reflexo , espessura 5mm, superfície de micro esferas de vidro replicadas,, vídeo 4/3;</t>
  </si>
  <si>
    <t>1,80m x 2,40m, retrátil, altura variável, fundo com napa preta e superfície de projeção BRANCA, e fornecida com tripé em aço;</t>
  </si>
  <si>
    <t>Coordenador para estandes</t>
  </si>
  <si>
    <t>Profissional capacitado para a realização de serviços de coordenação de estande em feiras e exposições - Montagem e operacional.</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</si>
  <si>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</si>
  <si>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</si>
  <si>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Arranjos de Flores </t>
  </si>
  <si>
    <t>De plantas/flores para decoração de espaço ou buffet;</t>
  </si>
  <si>
    <t>Bandeira </t>
  </si>
  <si>
    <t>Bandeira de   mesa de Países/ Estados. Medindo 16 x 11 cm. suporte e mastro em madeira envernizada;</t>
  </si>
  <si>
    <t>Banqueta para balcão de recepção de secretaria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</si>
  <si>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</si>
  <si>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</si>
  <si>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</si>
  <si>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</si>
  <si>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Mesa de reunião para até 20 pessoas</t>
  </si>
  <si>
    <t>Montada com material tipo pranchão em formato padronizado octanorme, com toalha em tecido para a mesa;</t>
  </si>
  <si>
    <t>Montagem de mesa diretiva para eventos, mobiliário, com toalha, sobre toalhas;</t>
  </si>
  <si>
    <t>Mesa/bancada para impressora, laminadas na cor branca; com toalha.</t>
  </si>
  <si>
    <t>m2/ Diária</t>
  </si>
  <si>
    <t>Poltrona </t>
  </si>
  <si>
    <t>Para composição de formato talk show e/ou ambientação de lounges</t>
  </si>
  <si>
    <t>Em madeira maciça. Estofamento em couro sintético, inclusive nos apoios de braço.</t>
  </si>
  <si>
    <t>Sofá -3 lugares</t>
  </si>
  <si>
    <t>Módulo estofado de 3 lugares , padrão superior;</t>
  </si>
  <si>
    <t>Tapete</t>
  </si>
  <si>
    <t>Tipo passadeira </t>
  </si>
  <si>
    <t>Medindo no mínimo 2 x 1 m para fins de higienização de calçados. Devem estar umidificados com água sanitária e deve haver constante reposição, toda vez que secar. 1 tapete seco, 1 tapete umidificado com água sanitária e 1 tapete seco.</t>
  </si>
  <si>
    <t>Arranjo floral de chão com flores tropicais</t>
  </si>
  <si>
    <t>Vaso com folhagem natural (altura mínima 1,50m), montado em base de cipós, rafis, solitário ou cachepô (palha, vidro, madeira ou capim), utilizando flores tropicais variadas, com folhagens diversas e dobraduras (fórmio, junco, capim, papiro e tango).</t>
  </si>
  <si>
    <t>Cachepot com folhagem natural </t>
  </si>
  <si>
    <t>Cachepot com folhagem natural (altura mínima 60cm)</t>
  </si>
  <si>
    <t>Jardineira de flores</t>
  </si>
  <si>
    <t>Elaboração de arranjos tipo jardineira para mesa plenária e arranjos com tripés com flores nobres naturais.</t>
  </si>
  <si>
    <t>Arranjo floral para centro de mesa</t>
  </si>
  <si>
    <t>Arranjo floral com flores da estação, altura mínima de 60 cm</t>
  </si>
  <si>
    <t>Criação, confecção, impressão, transporte, montagem e retirada de  totem acrílico/vinil em quatro cores. </t>
  </si>
  <si>
    <t>Painel para fixação de poster</t>
  </si>
  <si>
    <t>Painel confeccionado em cortiça, metal ou acrílico para fixação de cartazes. Mural.</t>
  </si>
  <si>
    <t>8.8</t>
  </si>
  <si>
    <t>Placa de visual interno confeccionada em estrutura metálica, em metal galvanizado, cantoneiras com pintura betumada e impressão (4 cores) em lona fosca.</t>
  </si>
  <si>
    <t>8.9</t>
  </si>
  <si>
    <t>a) Chocolate quente, cappuccino, café, chá, suco de fruta (03 tipos);</t>
  </si>
  <si>
    <t xml:space="preserv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</si>
  <si>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 xml:space="preserve"> b) refrigerante (02 tipos tradicionais e 02 tipos diet/light), e</t>
  </si>
  <si>
    <t>Lapela</t>
  </si>
  <si>
    <t>Serviço de degravação de áudio com revisão de texto - em português</t>
  </si>
  <si>
    <t>Consiste do registro integral da fala de cada participante, com transcrição corrigida do conteúdo. Texto formatado segundo as normas da ABNT e devidamente revisado. Deverá ser entregue em meio físico (encadernado, capa dura e espiral) e em meio digital (pen drive, cd ou dvd), conforme a necessidade do evento. Para cada fita degravada de 60 (sessenta) minutos utilizar-se-á, como padrão, o tempo de 6 (seis) horas de trabalho.</t>
  </si>
  <si>
    <t>O equipamento utilizado na gravação de som deverá possuir recursos para apresentar o produto final com qualidade digital em mídia CD/DVD/Pen drive. O serviço inclui técnico capacitados e materiais suficientes para a perfeita execução do serviço;</t>
  </si>
  <si>
    <t>Diária (8 horas)</t>
  </si>
  <si>
    <t>Serviço de sonorização com equipamentos em quantidade e especificação suficiente para a projeção de som no ambiente físico de forma cristalina, ininterrupta e sem microfonia e com potência/volume adequados às necessidades do evento, contendo basicamente mesa de som, caixas acústicas, notebook c/ drive de DVD, cabeamento e acessórios necessários ao pleno funcionamento, exceto microfones.</t>
  </si>
  <si>
    <t>2,00m x 2,00m, retrátil, altura variável, fundo com napa preta e superfície de projeção BRANCA, e fornecida com tripé em aço;</t>
  </si>
  <si>
    <t>7,00m x 5,00m, retrátil, altura variável, fundo com napa preta e superfície de projeção BRANCA, e fornecida com tripé em aço;</t>
  </si>
  <si>
    <t>m² / diária</t>
  </si>
  <si>
    <t>Profissional capacitado a prestar serviços de tradução em LIBRAS com jornada de 6h, para atuação em dupla. A cotação deverá  ser feita em horas. A cotação para esse item deverá ser para dupla;</t>
  </si>
  <si>
    <t>b) refrigerante (02 tipos tradicionais e 02 tipos diet/light),</t>
  </si>
  <si>
    <t>Aparelho de Blu Ray</t>
  </si>
  <si>
    <t>Aparelho blu ray com player 3D, entrada para USB, com controle remoto;</t>
  </si>
  <si>
    <t>Bebedouro para garrafão de 10 ou 20 litros, de chão, que produza no mínimo 1,9 litros de água gelada por hora (temperatura ambiente 32ºC). Gabinete e torneiras confeccionados em plástico de alta resistência, com sistema de refrigeração através de compressor;</t>
  </si>
  <si>
    <t>Caixa de som ativa 300 W c/ base p/tripé com 2 vias</t>
  </si>
  <si>
    <t>Caixa de som ativa</t>
  </si>
  <si>
    <t>Caixa de som ativa 600 W c/ base p/tripé com 2 vias</t>
  </si>
  <si>
    <t>Caixa de som de retorno</t>
  </si>
  <si>
    <t>Caixa de som ativa 400W com baser para tripé com 2 vias</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</si>
  <si>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</si>
  <si>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</si>
  <si>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Gravação de Blu Ray</t>
  </si>
  <si>
    <t>Serviço de impressão de label para cd</t>
  </si>
  <si>
    <t>A impressão personalizada deve ser feita diretamente no CD ou DVD. Um modelo deverá ser previamente aprovado para produção do restante;</t>
  </si>
  <si>
    <t>Serviço de tradução simultânea em  infravermelho  </t>
  </si>
  <si>
    <t>Serviço de tradução simultânea em VHF </t>
  </si>
  <si>
    <t>Translúcida Lisa  1,80m x 2,40m. Filme adesivado – Flexível, espessura 0,5mm, superfície de micro esferas de vidro replicadas;</t>
  </si>
  <si>
    <t> Translúcida Lisa  5,00m x 6,00m. Filme adesivado – Flexível, espessura 0,5mm, superfície de micro esferas de vidro replicadas;</t>
  </si>
  <si>
    <t>Translúcida Lisa  7,00m x 5,00m. Filme adesivado – Flexível, espessura 0,5mm, superfície de micro esferas de vidro replicadas;</t>
  </si>
  <si>
    <t>Em forma de balcão MDF com chave</t>
  </si>
  <si>
    <t>Biombo</t>
  </si>
  <si>
    <t>Podem ser vazados, transparentes, fechados, de tecido, ferro, madeira ou espelhos, sendo determinado de acordo com cada evento. Tamanho: 3m x 3m</t>
  </si>
  <si>
    <t>Cadeira fixa </t>
  </si>
  <si>
    <t>Cadeira giratória com braço estofada</t>
  </si>
  <si>
    <t>Cadeiras giratória com braço, com encosto, estofadas em tecido ou similar;</t>
  </si>
  <si>
    <t>Cones coloridos (laranja) para tráfego;</t>
  </si>
  <si>
    <t>Lixeira para área interna </t>
  </si>
  <si>
    <t>Palco</t>
  </si>
  <si>
    <t>Estrutura de ferro/alumínio com suporte de até 1000/1500kg, com autorização ART e CB, com piso estruturado em madeira nivelado, forrado com carpete com 0,90 ou 1,10 m de altura, com 02 escadas e 01 rampa, com protetores laterais ou corrimão, com acabamento e rodapés; com ou sem cobertura. Montagem e desmontagem.</t>
  </si>
  <si>
    <t>Prisma acrílico transparente no tamanho de 30 cm largura por 11 cm altura;</t>
  </si>
  <si>
    <t>Serviço especializado de organização de toda a programação visual dos espaços do eventos. </t>
  </si>
  <si>
    <t>Vaso com folhagem</t>
  </si>
  <si>
    <t>Vaso com folhagem natural (altura mínima 1,50m)</t>
  </si>
  <si>
    <t>Faixa de lona vinílica quatro cores</t>
  </si>
  <si>
    <t>Sistema Operacional de Controle de Inscrição</t>
  </si>
  <si>
    <t>QUANTIDADE ANUAL ESTIMADO DE EVENTOS TÉCNICOS</t>
  </si>
  <si>
    <t>QUANTIDADE ANUAL ESTIMADO DE EVENTOS DE ENTREGA</t>
  </si>
  <si>
    <t>QUANTIDADE ANUAL ESTIMADO DE EVENTOS DE DIVULGAÇÃO</t>
  </si>
  <si>
    <t>BLASTER PRODUÇÕES</t>
  </si>
  <si>
    <t>PROFOX</t>
  </si>
  <si>
    <t>SMART PROMOÇÕES E EVENTOS</t>
  </si>
  <si>
    <t>SS2 PRODUÇÕES</t>
  </si>
  <si>
    <t>ARP - Autoridade Portuária de Santos</t>
  </si>
  <si>
    <t>ARP - ANA</t>
  </si>
  <si>
    <t>ARP - CFM</t>
  </si>
  <si>
    <t>CGU</t>
  </si>
  <si>
    <t>AIR FIVE</t>
  </si>
  <si>
    <t>CIDADANIA</t>
  </si>
  <si>
    <t>MME</t>
  </si>
  <si>
    <t>MJSP</t>
  </si>
  <si>
    <t>MPF</t>
  </si>
  <si>
    <t>ICMBio</t>
  </si>
  <si>
    <t/>
  </si>
  <si>
    <t>b) refrigerante (02 tipos tradicionais e 02 tipos diet/light)</t>
  </si>
  <si>
    <t xml:space="preserve">a) Chocolate quente, cappuccino, café, chá, suco de fruta (03 tipos); </t>
  </si>
  <si>
    <t>ITENS PESQUISADOS</t>
  </si>
  <si>
    <t>MEC - 1</t>
  </si>
  <si>
    <t>VALORES UNITÁRIOS</t>
  </si>
  <si>
    <t>Panel de Preços</t>
  </si>
  <si>
    <t>VALOR UNITÁRIO ESTIMADO</t>
  </si>
  <si>
    <t>CLASSIFICAÇÃO (CATEGORIAS DE EVENTOS)</t>
  </si>
  <si>
    <t>QTD</t>
  </si>
  <si>
    <t>TIPO I – EVENTOS TÉCNICOS</t>
  </si>
  <si>
    <t>TIPO II – EVENTOS DE ENTREGAS</t>
  </si>
  <si>
    <t>TIPO III – EVENTOS DE DIVULGAÇÃO</t>
  </si>
  <si>
    <t>TIPO IV – EVENTOS INTERNOS</t>
  </si>
  <si>
    <t>TIPO V – COMEMORATIVOS</t>
  </si>
  <si>
    <t>VALOR TOTAL ESTIMADO DO SUB-ITEM</t>
  </si>
  <si>
    <t>SUBTOTAL ESTIMADO DOS ITENS</t>
  </si>
  <si>
    <t>QUANTIDADE  ANUAL ESTIMADO DE EVENTOS INTERNOS</t>
  </si>
  <si>
    <t>QUANTIDADE ANUAL ESTIMADO DE EVENTOS COMEMORATIVOS</t>
  </si>
  <si>
    <t>CUSTO ANUAL ESTIMADO DE EVENTOS COMEMORATIVOS</t>
  </si>
  <si>
    <t>CUSTO ANUAL ESTIMADO DE EVENTOS INTERNOS</t>
  </si>
  <si>
    <t>CUSTO ANUAL ESTIMADO DE EVENTOS DE DIVULGAÇÃO</t>
  </si>
  <si>
    <t>CUSTO ANUAL ESTIMADO DE EVENTOS DE ENTREGA</t>
  </si>
  <si>
    <t xml:space="preserve">CUSTO ANUAL ESTIMADO DE EVENTOS TÉCNICOS </t>
  </si>
  <si>
    <t>CUSTO UNITÁRIO ESTIMADO DO EVENTO</t>
  </si>
  <si>
    <t>CUSTO ANUAL ESTIMADO DO EVENTO</t>
  </si>
  <si>
    <t>VALOR ANUAL ESTIMADO DA CONTRATAÇÃO</t>
  </si>
  <si>
    <t>Hospedagem com café da manhã</t>
  </si>
  <si>
    <t>Sistema de Controle de inscrições das delegações, convidados, Conferencistas, Relatores, Expositores, Apoio Técnico Operacional, observadores, de emissão de etiquetas, de relatórios, de listas, dentre outros documentos que se fizerem necessários, bem como promover sua implantação e operacionalização, a ser disponibilizado via Web para ser utilizado de forma “on line”. O sistema deverá estar hospedado na estrutura da CONTRATADA, provendo disponibilidade, operação 24 x 7 e possibilitando ao CNAS/Cidadania a extração de relatórios diversos com informações da inscrição. O sistema de controle de inscrições deverá ser ajustado e conter as informações conforme definido pela Comissão Organizadora.</t>
  </si>
  <si>
    <t>SUBITEM REPETIDO NO MESMO ITEM DESCONSIDERADO DO CÁLCULO</t>
  </si>
  <si>
    <r>
      <t>M</t>
    </r>
    <r>
      <rPr>
        <vertAlign val="superscript"/>
        <sz val="12"/>
        <color rgb="FF000000"/>
        <rFont val="Calibri"/>
        <family val="2"/>
      </rPr>
      <t>2</t>
    </r>
    <r>
      <rPr>
        <sz val="12"/>
        <color rgb="FF000000"/>
        <rFont val="Calibri"/>
        <family val="2"/>
      </rPr>
      <t>/Diária</t>
    </r>
  </si>
  <si>
    <t>MÉDIA UNITÁRIA</t>
  </si>
  <si>
    <t>DESVIO PADRÃO</t>
  </si>
  <si>
    <t>LIMITE INFERIOR (MÉDIA - DESVIO PADRÃO)</t>
  </si>
  <si>
    <t>LIMITE SUPERIOR (MÉDIA + DESVIO PADRÃO)</t>
  </si>
  <si>
    <t>MÉDIA</t>
  </si>
  <si>
    <t>MEDIANA</t>
  </si>
  <si>
    <t xml:space="preserve">DESVIO PADRÃO </t>
  </si>
  <si>
    <t>COEFICIENTE DE VARIAÇÃO</t>
  </si>
  <si>
    <t>MÉDIA, MEDIANA OU MENOR PREÇO</t>
  </si>
  <si>
    <t>Menor valor proposto por empresa</t>
  </si>
  <si>
    <t>Sem necessidade de aplicação da metodologia por não apresentar variação.</t>
  </si>
  <si>
    <t>Sem necessidade de aplicação da metodologia por apresentar apenas dois preços</t>
  </si>
  <si>
    <t>Único preço encontrado</t>
  </si>
  <si>
    <t>Único valor encontrado</t>
  </si>
  <si>
    <t>Os preços apresentados pelas empresas se mostraram excessivamente destoantes em comparação aos preços praticados em contratos.</t>
  </si>
  <si>
    <t>Menor valor proposto pelas empresas</t>
  </si>
  <si>
    <t>Único valor encontrado e corrigido em relação a planilha anterior</t>
  </si>
  <si>
    <t>Sem necessidade de aplicação da metodologia por apresentar apenas dois preços e um destoante do preço de mercado</t>
  </si>
  <si>
    <t>m2/Diária</t>
  </si>
  <si>
    <t>unidade/diária</t>
  </si>
  <si>
    <t>Trabalho contínuo de equipe preparada para deixar o ambiente organizado. Serviço de limpeza realizada com material incluso como: panos de chão, aspirador, vassouras, baldes, papel higiênico de boa qualidade, sabonete cremoso de boa qualidade, papel toalha, saquinhos descartáveis para absorventes higiênicos, protetores descartáveis para assento sanitário, álcool em gel desinfetante para as mãos, desodorizador de ambientes em aerossol e embalagem não reutilizável, sacos de lixo, demais produtos químicos necessários à limpeza, desinfecção, desodorização e conservação do ambiente. A cotação para esse item deverá ser para dupla</t>
  </si>
  <si>
    <t>Diária 8h</t>
  </si>
  <si>
    <r>
      <t xml:space="preserve">Os preços apresentados pelas empresas se mostraram excessivamente destoante em comparação ao preço praticado em contrato, razão da definição do </t>
    </r>
    <r>
      <rPr>
        <b/>
        <sz val="11"/>
        <color theme="1"/>
        <rFont val="Calibri"/>
        <family val="2"/>
        <scheme val="minor"/>
      </rPr>
      <t>menor valor</t>
    </r>
    <r>
      <rPr>
        <sz val="11"/>
        <color theme="1"/>
        <rFont val="Calibri"/>
        <family val="2"/>
        <scheme val="minor"/>
      </rPr>
      <t>.</t>
    </r>
  </si>
  <si>
    <r>
      <t xml:space="preserve">O preço apresentado pela empresa se mostrou excessivamente destoante em comparação ao preço praticado em contrato, razão da definição do </t>
    </r>
    <r>
      <rPr>
        <b/>
        <sz val="11"/>
        <color theme="1"/>
        <rFont val="Calibri"/>
        <family val="2"/>
        <scheme val="minor"/>
      </rPr>
      <t>menor valor</t>
    </r>
    <r>
      <rPr>
        <sz val="11"/>
        <color theme="1"/>
        <rFont val="Calibri"/>
        <family val="2"/>
        <scheme val="minor"/>
      </rPr>
      <t>.</t>
    </r>
  </si>
  <si>
    <r>
      <t xml:space="preserve">Os preços apresentados pelas empresas se mostraram excessivamente destoantes em comparação ao preço praticado em contrato, razão da definição do </t>
    </r>
    <r>
      <rPr>
        <b/>
        <sz val="11"/>
        <color theme="1"/>
        <rFont val="Calibri"/>
        <family val="2"/>
        <scheme val="minor"/>
      </rPr>
      <t>menor valor</t>
    </r>
    <r>
      <rPr>
        <sz val="11"/>
        <color theme="1"/>
        <rFont val="Calibri"/>
        <family val="2"/>
        <scheme val="minor"/>
      </rPr>
      <t>.</t>
    </r>
  </si>
  <si>
    <r>
      <t xml:space="preserve">Sem necessidade de aplicação da metodologia por apresentar apenas dois valores, razão do cálculo da </t>
    </r>
    <r>
      <rPr>
        <b/>
        <sz val="11"/>
        <color theme="1"/>
        <rFont val="Calibri"/>
        <family val="2"/>
        <scheme val="minor"/>
      </rPr>
      <t>média simples</t>
    </r>
    <r>
      <rPr>
        <sz val="11"/>
        <color theme="1"/>
        <rFont val="Calibri"/>
        <family val="2"/>
        <scheme val="minor"/>
      </rPr>
      <t>.</t>
    </r>
  </si>
  <si>
    <r>
      <t xml:space="preserve">Os preços apresentados pelas empresas se mostraram excessivamente destoantes em comparação aos preços praticados em contratos. Foi utilizado o cálculo da </t>
    </r>
    <r>
      <rPr>
        <b/>
        <sz val="11"/>
        <color theme="1"/>
        <rFont val="Calibri"/>
        <family val="2"/>
        <scheme val="minor"/>
      </rPr>
      <t>média simples</t>
    </r>
    <r>
      <rPr>
        <sz val="11"/>
        <color theme="1"/>
        <rFont val="Calibri"/>
        <family val="2"/>
        <scheme val="minor"/>
      </rPr>
      <t xml:space="preserve"> para os dois valores.</t>
    </r>
  </si>
  <si>
    <r>
      <t xml:space="preserve">O preço excessivamente destoante foi desconsiderado para o cálculo da média, logo sem necessidade de aplicação da metodologia por apresentar apenas dois preços, razão do cálculo da </t>
    </r>
    <r>
      <rPr>
        <b/>
        <sz val="11"/>
        <color theme="1"/>
        <rFont val="Calibri"/>
        <family val="2"/>
        <scheme val="minor"/>
      </rPr>
      <t>média simples</t>
    </r>
    <r>
      <rPr>
        <sz val="11"/>
        <color theme="1"/>
        <rFont val="Calibri"/>
        <family val="2"/>
        <scheme val="minor"/>
      </rPr>
      <t>.</t>
    </r>
  </si>
  <si>
    <r>
      <t xml:space="preserve">Sem necessidade de aplicação da metodologia por apresentar apenas dois preços, razão do cálculo da </t>
    </r>
    <r>
      <rPr>
        <b/>
        <sz val="11"/>
        <color theme="1"/>
        <rFont val="Calibri"/>
        <family val="2"/>
        <scheme val="minor"/>
      </rPr>
      <t>média simples</t>
    </r>
    <r>
      <rPr>
        <sz val="11"/>
        <color theme="1"/>
        <rFont val="Calibri"/>
        <family val="2"/>
        <scheme val="minor"/>
      </rPr>
      <t>.</t>
    </r>
  </si>
  <si>
    <r>
      <t xml:space="preserve">Os dois menores preços apresentados pelas empresas foram considerados para o cálculo por apresentarem paridade ou próximo disso, razão do cálculo da </t>
    </r>
    <r>
      <rPr>
        <b/>
        <sz val="11"/>
        <color theme="1"/>
        <rFont val="Calibri"/>
        <family val="2"/>
        <scheme val="minor"/>
      </rPr>
      <t>média simples</t>
    </r>
    <r>
      <rPr>
        <sz val="11"/>
        <color theme="1"/>
        <rFont val="Calibri"/>
        <family val="2"/>
        <scheme val="minor"/>
      </rPr>
      <t>.</t>
    </r>
  </si>
  <si>
    <r>
      <t xml:space="preserve">Sem necessidade de aplicação da metodologia em razão de três valores serem os mesmos, logo o cálculo da </t>
    </r>
    <r>
      <rPr>
        <b/>
        <sz val="11"/>
        <color theme="1"/>
        <rFont val="Calibri"/>
        <family val="2"/>
        <scheme val="minor"/>
      </rPr>
      <t>média simples</t>
    </r>
    <r>
      <rPr>
        <sz val="11"/>
        <color theme="1"/>
        <rFont val="Calibri"/>
        <family val="2"/>
        <scheme val="minor"/>
      </rPr>
      <t>.</t>
    </r>
  </si>
  <si>
    <r>
      <t xml:space="preserve">Os preços propostos pelas empresas se apresentaram exorbitantes em comparação com o que está sendo executado em contrato, logo adotado o </t>
    </r>
    <r>
      <rPr>
        <b/>
        <sz val="11"/>
        <color theme="1"/>
        <rFont val="Calibri"/>
        <family val="2"/>
        <scheme val="minor"/>
      </rPr>
      <t>menor valor</t>
    </r>
    <r>
      <rPr>
        <sz val="11"/>
        <color theme="1"/>
        <rFont val="Calibri"/>
        <family val="2"/>
        <scheme val="minor"/>
      </rPr>
      <t>.</t>
    </r>
  </si>
  <si>
    <r>
      <t xml:space="preserve">Os preços propostos pelas empresas se apresentam exorbitantes em comparação com o que está sendo executado em contrato, logo adotado o </t>
    </r>
    <r>
      <rPr>
        <b/>
        <sz val="11"/>
        <color theme="1"/>
        <rFont val="Calibri"/>
        <family val="2"/>
        <scheme val="minor"/>
      </rPr>
      <t>menor valor</t>
    </r>
    <r>
      <rPr>
        <sz val="11"/>
        <color theme="1"/>
        <rFont val="Calibri"/>
        <family val="2"/>
        <scheme val="minor"/>
      </rPr>
      <t>.</t>
    </r>
  </si>
  <si>
    <r>
      <t>Os dois menores preços apresentados pelas empresas foram considerados para o cálculo por apresentarem pouca variação, logo foi utilizado o cálculo da</t>
    </r>
    <r>
      <rPr>
        <b/>
        <sz val="11"/>
        <color theme="1"/>
        <rFont val="Calibri"/>
        <family val="2"/>
        <scheme val="minor"/>
      </rPr>
      <t xml:space="preserve"> média simples</t>
    </r>
    <r>
      <rPr>
        <sz val="11"/>
        <color theme="1"/>
        <rFont val="Calibri"/>
        <family val="2"/>
        <scheme val="minor"/>
      </rPr>
      <t>.</t>
    </r>
  </si>
  <si>
    <r>
      <t xml:space="preserve">Os preços propostos pelas empresas se apresentaram exorbitantes em comparação com os que estão sendo executados em contrato, razão do cálculo da </t>
    </r>
    <r>
      <rPr>
        <b/>
        <sz val="11"/>
        <color theme="1"/>
        <rFont val="Calibri"/>
        <family val="2"/>
        <scheme val="minor"/>
      </rPr>
      <t>média simples</t>
    </r>
    <r>
      <rPr>
        <sz val="11"/>
        <color theme="1"/>
        <rFont val="Calibri"/>
        <family val="2"/>
        <scheme val="minor"/>
      </rPr>
      <t>.</t>
    </r>
  </si>
  <si>
    <r>
      <t xml:space="preserve">Os dois valores encontrados são demasiadamente dissonates, portanto foi considerado o </t>
    </r>
    <r>
      <rPr>
        <b/>
        <sz val="11"/>
        <color theme="1"/>
        <rFont val="Calibri"/>
        <family val="2"/>
        <scheme val="minor"/>
      </rPr>
      <t>menor valor</t>
    </r>
  </si>
  <si>
    <r>
      <t xml:space="preserve">Sem necessidade de aplicação da metodologia por apresentar apenas dois preços, logo foi utilizado o cálculo da </t>
    </r>
    <r>
      <rPr>
        <b/>
        <sz val="11"/>
        <color theme="1"/>
        <rFont val="Calibri"/>
        <family val="2"/>
        <scheme val="minor"/>
      </rPr>
      <t>média simples</t>
    </r>
    <r>
      <rPr>
        <sz val="11"/>
        <color theme="1"/>
        <rFont val="Calibri"/>
        <family val="2"/>
        <scheme val="minor"/>
      </rPr>
      <t>.</t>
    </r>
  </si>
  <si>
    <r>
      <t xml:space="preserve">Os dois menores preços apresentados pelas empresas foram considerados para o cálculo por apresentarem pouca variação, logo foi utilizado o cálculo da </t>
    </r>
    <r>
      <rPr>
        <b/>
        <sz val="11"/>
        <color theme="1"/>
        <rFont val="Calibri"/>
        <family val="2"/>
        <scheme val="minor"/>
      </rPr>
      <t>média simples</t>
    </r>
    <r>
      <rPr>
        <sz val="11"/>
        <color theme="1"/>
        <rFont val="Calibri"/>
        <family val="2"/>
        <scheme val="minor"/>
      </rPr>
      <t>.</t>
    </r>
  </si>
  <si>
    <r>
      <rPr>
        <b/>
        <sz val="11"/>
        <color theme="1"/>
        <rFont val="Calibri"/>
        <family val="2"/>
        <scheme val="minor"/>
      </rPr>
      <t>Menor valor</t>
    </r>
    <r>
      <rPr>
        <sz val="11"/>
        <color theme="1"/>
        <rFont val="Calibri"/>
        <family val="2"/>
        <scheme val="minor"/>
      </rPr>
      <t xml:space="preserve"> proposto pelas empresas</t>
    </r>
  </si>
  <si>
    <r>
      <t xml:space="preserve">Sem necessidade de aplicação da metodologia por apresentar apenas dois preços aceitáveis, logo foi utilizado o cálculo da </t>
    </r>
    <r>
      <rPr>
        <b/>
        <sz val="11"/>
        <color theme="1"/>
        <rFont val="Calibri"/>
        <family val="2"/>
        <scheme val="minor"/>
      </rPr>
      <t>média simples</t>
    </r>
    <r>
      <rPr>
        <sz val="11"/>
        <color theme="1"/>
        <rFont val="Calibri"/>
        <family val="2"/>
        <scheme val="minor"/>
      </rPr>
      <t>.</t>
    </r>
  </si>
  <si>
    <r>
      <t>Como o preço proposto pela empresa exorbitava consideravelmente ao único preço encontratado em contrato, foi optado pelo</t>
    </r>
    <r>
      <rPr>
        <b/>
        <sz val="11"/>
        <color theme="1"/>
        <rFont val="Calibri"/>
        <family val="2"/>
        <scheme val="minor"/>
      </rPr>
      <t xml:space="preserve"> menor valor</t>
    </r>
    <r>
      <rPr>
        <sz val="11"/>
        <color theme="1"/>
        <rFont val="Calibri"/>
        <family val="2"/>
        <scheme val="minor"/>
      </rPr>
      <t>.</t>
    </r>
  </si>
  <si>
    <r>
      <t xml:space="preserve">Os preços apresentados pelas empresas se mostraram excessivamente destoantes em comparação aos preços praticados em contratos, logo foi calculado a </t>
    </r>
    <r>
      <rPr>
        <b/>
        <sz val="11"/>
        <color theme="1"/>
        <rFont val="Calibri"/>
        <family val="2"/>
        <scheme val="minor"/>
      </rPr>
      <t>média simples</t>
    </r>
    <r>
      <rPr>
        <sz val="11"/>
        <color theme="1"/>
        <rFont val="Calibri"/>
        <family val="2"/>
        <scheme val="minor"/>
      </rPr>
      <t>.</t>
    </r>
  </si>
  <si>
    <r>
      <t xml:space="preserve">Os preços apresentados pelas empresas se mostraram excessivamente destoantes em comparação ao preço praticados em contrato, logo foi adotado o </t>
    </r>
    <r>
      <rPr>
        <b/>
        <sz val="11"/>
        <color theme="1"/>
        <rFont val="Calibri"/>
        <family val="2"/>
        <scheme val="minor"/>
      </rPr>
      <t>menor valor</t>
    </r>
    <r>
      <rPr>
        <sz val="11"/>
        <color theme="1"/>
        <rFont val="Calibri"/>
        <family val="2"/>
        <scheme val="minor"/>
      </rPr>
      <t>.</t>
    </r>
  </si>
  <si>
    <r>
      <t xml:space="preserve">Os preços apresentados pelas empresas se mostraram excessivamente destoantes em comparação aos preços praticados em contratos, logo foi adotado a </t>
    </r>
    <r>
      <rPr>
        <b/>
        <sz val="11"/>
        <color theme="1"/>
        <rFont val="Calibri"/>
        <family val="2"/>
        <scheme val="minor"/>
      </rPr>
      <t>média simples</t>
    </r>
    <r>
      <rPr>
        <sz val="11"/>
        <color theme="1"/>
        <rFont val="Calibri"/>
        <family val="2"/>
        <scheme val="minor"/>
      </rPr>
      <t xml:space="preserve"> entre os valores aceitáveis.</t>
    </r>
  </si>
  <si>
    <r>
      <t xml:space="preserve">Os preços apresentados pelas empresas se mostraram excessivamente destoantes em comparação ao preço praticado em contrato, logo adotado o </t>
    </r>
    <r>
      <rPr>
        <b/>
        <sz val="11"/>
        <color theme="1"/>
        <rFont val="Calibri"/>
        <family val="2"/>
        <scheme val="minor"/>
      </rPr>
      <t>menor valor</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</si>
</sst>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quot;R$&quot;\ #,##0.00"/>
    <numFmt numFmtId="165" formatCode="#,##0.00;[Red]#,##0.00"/>
  </numFmts>
  <fonts count="14" x14ac:knownFonts="1">
    <font>
      <sz val="11"/>
      <color theme="1"/>
      <name val="Calibri"/>
      <family val="2"/>
      <scheme val="minor"/>
    </font>
    <font>
      <sz val="12"/>
      <color rgb="FF000000"/>
      <name val="Calibri"/>
      <family val="2"/>
    </font>
    <font>
      <b/>
      <sz val="12"/>
      <color rgb="FF000000"/>
      <name val="Calibri"/>
      <family val="2"/>
    </font>
    <font>
      <vertAlign val="superscript"/>
      <sz val="12"/>
      <color rgb="FF000000"/>
      <name val="Calibri"/>
      <family val="2"/>
    </font>
    <font>
      <sz val="11"/>
      <color theme="1"/>
      <name val="Calibri"/>
      <family val="2"/>
      <scheme val="minor"/>
    </font>
    <font>
      <sz val="11"/>
      <color rgb="FF000000"/>
      <name val="Calibri"/>
      <family val="2"/>
    </font>
    <font>
      <b/>
      <sz val="11"/>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sz val="9"/>
      <color indexed="81"/>
      <name val="Segoe UI"/>
      <family val="2"/>
    </font>
    <font>
      <b/>
      <sz val="9"/>
      <color indexed="81"/>
      <name val="Segoe UI"/>
      <family val="2"/>
    </font>
    <font>
      <b/>
      <sz val="11"/>
      <name val="Calibri"/>
      <family val="2"/>
      <scheme val="minor"/>
    </font>
    <font>
      <sz val="11"/>
      <color rgb="FF000000"/>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rgb="FF000000"/>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94">
    <xf numFmtId="0" fontId="0" fillId="0" borderId="0" xfId="0"/>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10" xfId="0" applyFont="1" applyFill="1" applyBorder="1" applyAlignment="1">
      <alignment horizontal="center" vertical="center" wrapText="1"/>
    </xf>
    <xf numFmtId="44" fontId="0" fillId="4" borderId="10" xfId="1" applyFont="1" applyFill="1" applyBorder="1" applyAlignment="1">
      <alignment vertical="center"/>
    </xf>
    <xf numFmtId="0" fontId="0" fillId="0" borderId="10" xfId="0" applyBorder="1"/>
    <xf numFmtId="0" fontId="0" fillId="2" borderId="10" xfId="0" applyFill="1" applyBorder="1"/>
    <xf numFmtId="44" fontId="0" fillId="0" borderId="10" xfId="1" applyFont="1" applyBorder="1" applyAlignment="1">
      <alignment vertical="center"/>
    </xf>
    <xf numFmtId="44" fontId="0" fillId="0" borderId="10" xfId="1" applyFont="1" applyFill="1" applyBorder="1" applyAlignment="1">
      <alignment vertical="center"/>
    </xf>
    <xf numFmtId="44" fontId="0" fillId="0" borderId="10" xfId="1" applyFont="1" applyBorder="1" applyAlignment="1">
      <alignment horizontal="center" vertical="center"/>
    </xf>
    <xf numFmtId="44" fontId="0" fillId="2" borderId="10" xfId="1" applyFont="1" applyFill="1" applyBorder="1" applyAlignment="1">
      <alignment vertical="center"/>
    </xf>
    <xf numFmtId="0" fontId="1" fillId="3" borderId="1" xfId="0" applyFont="1" applyFill="1" applyBorder="1" applyAlignment="1">
      <alignment horizontal="center" vertical="center" wrapText="1"/>
    </xf>
    <xf numFmtId="0" fontId="0" fillId="2" borderId="10" xfId="0" applyFill="1" applyBorder="1" applyAlignment="1">
      <alignment horizontal="center" vertical="center"/>
    </xf>
    <xf numFmtId="44" fontId="1" fillId="4" borderId="10" xfId="1" applyFont="1" applyFill="1" applyBorder="1" applyAlignment="1">
      <alignment horizontal="center" vertical="center" wrapText="1"/>
    </xf>
    <xf numFmtId="0" fontId="0" fillId="2" borderId="10" xfId="0" applyFill="1" applyBorder="1" applyAlignment="1"/>
    <xf numFmtId="0" fontId="0" fillId="2" borderId="10" xfId="0" applyFill="1" applyBorder="1" applyAlignment="1">
      <alignment vertical="center"/>
    </xf>
    <xf numFmtId="44" fontId="0" fillId="2" borderId="10" xfId="1" applyFont="1" applyFill="1" applyBorder="1"/>
    <xf numFmtId="164" fontId="1" fillId="2" borderId="10" xfId="0" applyNumberFormat="1" applyFont="1" applyFill="1" applyBorder="1" applyAlignment="1">
      <alignment horizontal="center" vertical="center" wrapText="1"/>
    </xf>
    <xf numFmtId="44" fontId="1" fillId="2" borderId="10" xfId="1" applyFont="1" applyFill="1" applyBorder="1" applyAlignment="1">
      <alignment horizontal="center" vertical="center" wrapText="1"/>
    </xf>
    <xf numFmtId="0" fontId="1" fillId="6" borderId="10" xfId="0" applyFont="1" applyFill="1" applyBorder="1" applyAlignment="1">
      <alignment horizontal="center" vertical="center" wrapText="1"/>
    </xf>
    <xf numFmtId="0" fontId="0" fillId="6" borderId="10" xfId="0" applyFill="1" applyBorder="1"/>
    <xf numFmtId="0" fontId="1" fillId="0" borderId="10" xfId="0" applyFont="1" applyBorder="1" applyAlignment="1">
      <alignment horizontal="center" vertical="center" wrapText="1"/>
    </xf>
    <xf numFmtId="0" fontId="1" fillId="4"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44" fontId="0" fillId="7" borderId="10" xfId="1" applyFont="1" applyFill="1" applyBorder="1" applyAlignment="1">
      <alignment vertical="center"/>
    </xf>
    <xf numFmtId="44" fontId="0" fillId="7" borderId="10" xfId="1" applyFont="1" applyFill="1" applyBorder="1" applyAlignment="1">
      <alignment horizontal="center" vertical="center"/>
    </xf>
    <xf numFmtId="44" fontId="0" fillId="7" borderId="10" xfId="1" applyFont="1" applyFill="1" applyBorder="1"/>
    <xf numFmtId="44" fontId="7" fillId="7" borderId="10" xfId="1" applyFont="1" applyFill="1" applyBorder="1" applyAlignment="1">
      <alignment vertical="center"/>
    </xf>
    <xf numFmtId="44" fontId="1" fillId="7" borderId="10" xfId="1" applyFont="1" applyFill="1" applyBorder="1" applyAlignment="1">
      <alignment horizontal="center" vertical="center" wrapText="1"/>
    </xf>
    <xf numFmtId="0" fontId="0" fillId="2" borderId="10" xfId="0" applyFill="1" applyBorder="1" applyAlignment="1">
      <alignment wrapText="1"/>
    </xf>
    <xf numFmtId="44" fontId="0" fillId="0" borderId="10" xfId="1" applyFont="1" applyBorder="1" applyAlignment="1">
      <alignment vertical="center" wrapText="1"/>
    </xf>
    <xf numFmtId="44" fontId="0" fillId="0" borderId="10" xfId="0" applyNumberFormat="1" applyBorder="1"/>
    <xf numFmtId="44" fontId="0" fillId="0" borderId="10" xfId="0" applyNumberFormat="1" applyBorder="1" applyAlignment="1">
      <alignment vertical="center"/>
    </xf>
    <xf numFmtId="0" fontId="0" fillId="2" borderId="10" xfId="0" applyFill="1" applyBorder="1" applyAlignment="1">
      <alignment horizontal="center" wrapText="1"/>
    </xf>
    <xf numFmtId="0" fontId="1" fillId="0" borderId="10" xfId="0" quotePrefix="1" applyFont="1" applyBorder="1" applyAlignment="1">
      <alignment horizontal="center" vertical="center" wrapText="1"/>
    </xf>
    <xf numFmtId="0" fontId="6" fillId="5" borderId="10" xfId="0" applyFont="1" applyFill="1" applyBorder="1" applyAlignment="1">
      <alignment horizontal="center" vertical="center" wrapText="1"/>
    </xf>
    <xf numFmtId="0" fontId="0" fillId="0" borderId="10" xfId="0" applyBorder="1" applyAlignment="1">
      <alignment vertical="center"/>
    </xf>
    <xf numFmtId="0" fontId="1" fillId="3" borderId="16" xfId="0" applyFont="1" applyFill="1" applyBorder="1" applyAlignment="1">
      <alignment horizontal="center" vertical="center" wrapText="1"/>
    </xf>
    <xf numFmtId="0" fontId="5" fillId="0" borderId="10" xfId="0" applyFont="1" applyBorder="1" applyAlignment="1">
      <alignment horizontal="center" vertical="center" wrapText="1"/>
    </xf>
    <xf numFmtId="0" fontId="1" fillId="0" borderId="10" xfId="0" applyFont="1" applyBorder="1" applyAlignment="1">
      <alignment horizontal="left" vertical="center" wrapText="1"/>
    </xf>
    <xf numFmtId="0" fontId="9" fillId="5" borderId="10" xfId="0" applyFont="1" applyFill="1" applyBorder="1" applyAlignment="1">
      <alignment horizontal="center" vertical="center" wrapText="1"/>
    </xf>
    <xf numFmtId="0" fontId="9" fillId="0" borderId="10" xfId="0" applyFont="1" applyBorder="1" applyAlignment="1">
      <alignment horizontal="center" vertical="center"/>
    </xf>
    <xf numFmtId="0" fontId="8" fillId="0" borderId="10" xfId="0" applyFont="1" applyBorder="1" applyAlignment="1">
      <alignment horizontal="center" vertical="center"/>
    </xf>
    <xf numFmtId="44" fontId="6" fillId="0" borderId="10" xfId="0" applyNumberFormat="1" applyFont="1" applyBorder="1" applyAlignment="1">
      <alignment vertical="center"/>
    </xf>
    <xf numFmtId="0" fontId="2" fillId="0" borderId="16" xfId="0" applyFont="1" applyBorder="1" applyAlignment="1">
      <alignment horizontal="center" vertical="center" wrapText="1"/>
    </xf>
    <xf numFmtId="0" fontId="1" fillId="0" borderId="10" xfId="0" applyFont="1" applyBorder="1" applyAlignment="1">
      <alignment horizontal="center" vertical="center" wrapText="1"/>
    </xf>
    <xf numFmtId="44" fontId="0" fillId="0" borderId="10" xfId="1" applyFont="1" applyBorder="1" applyAlignment="1">
      <alignment horizontal="center" vertical="center"/>
    </xf>
    <xf numFmtId="44" fontId="0" fillId="4" borderId="10" xfId="1" applyFont="1" applyFill="1" applyBorder="1" applyAlignment="1">
      <alignment horizontal="center" vertical="center"/>
    </xf>
    <xf numFmtId="44" fontId="0" fillId="7" borderId="10" xfId="1" applyFont="1" applyFill="1" applyBorder="1" applyAlignment="1">
      <alignment horizontal="center" vertical="center"/>
    </xf>
    <xf numFmtId="44" fontId="1" fillId="4" borderId="10" xfId="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44" fontId="0" fillId="9" borderId="10" xfId="0" applyNumberFormat="1" applyFill="1" applyBorder="1" applyAlignment="1">
      <alignment vertical="center"/>
    </xf>
    <xf numFmtId="0" fontId="0" fillId="0" borderId="0" xfId="0" applyAlignment="1">
      <alignment horizontal="center" vertical="center" wrapText="1"/>
    </xf>
    <xf numFmtId="0" fontId="1" fillId="0" borderId="10" xfId="0" applyFont="1" applyBorder="1" applyAlignment="1">
      <alignment horizontal="center" vertical="center" wrapText="1"/>
    </xf>
    <xf numFmtId="44" fontId="0" fillId="10" borderId="10" xfId="1" applyFont="1" applyFill="1" applyBorder="1" applyAlignment="1">
      <alignment horizontal="center" vertical="center" wrapText="1"/>
    </xf>
    <xf numFmtId="44" fontId="0" fillId="11" borderId="10" xfId="1" applyFont="1" applyFill="1" applyBorder="1" applyAlignment="1">
      <alignment horizontal="center" vertical="center" wrapText="1"/>
    </xf>
    <xf numFmtId="44" fontId="0" fillId="12" borderId="10" xfId="1" applyFont="1" applyFill="1" applyBorder="1" applyAlignment="1">
      <alignment horizontal="center" vertical="center" wrapText="1"/>
    </xf>
    <xf numFmtId="44" fontId="13" fillId="12" borderId="10" xfId="1" applyFont="1" applyFill="1" applyBorder="1" applyAlignment="1">
      <alignment horizontal="center" vertical="center" wrapText="1"/>
    </xf>
    <xf numFmtId="9" fontId="13" fillId="12" borderId="10" xfId="2" applyFont="1" applyFill="1" applyBorder="1" applyAlignment="1">
      <alignment horizontal="center" vertical="center" wrapText="1"/>
    </xf>
    <xf numFmtId="44" fontId="0" fillId="13" borderId="10" xfId="1" applyFont="1" applyFill="1" applyBorder="1" applyAlignment="1">
      <alignment vertical="center"/>
    </xf>
    <xf numFmtId="44" fontId="0" fillId="13" borderId="10" xfId="1" applyFont="1" applyFill="1" applyBorder="1" applyAlignment="1">
      <alignment horizontal="center" vertical="center"/>
    </xf>
    <xf numFmtId="44" fontId="1" fillId="13" borderId="10" xfId="1" applyFont="1" applyFill="1" applyBorder="1" applyAlignment="1">
      <alignment horizontal="center" vertical="center" wrapText="1"/>
    </xf>
    <xf numFmtId="44" fontId="0" fillId="13" borderId="10" xfId="1" applyFont="1" applyFill="1" applyBorder="1"/>
    <xf numFmtId="44" fontId="0" fillId="13" borderId="10" xfId="1" applyFont="1" applyFill="1" applyBorder="1" applyAlignment="1">
      <alignment vertical="center" wrapText="1"/>
    </xf>
    <xf numFmtId="44" fontId="0" fillId="13" borderId="10" xfId="1" applyFont="1" applyFill="1" applyBorder="1" applyAlignment="1">
      <alignment horizontal="center" vertical="center"/>
    </xf>
    <xf numFmtId="0" fontId="6" fillId="0" borderId="10" xfId="0" applyFont="1" applyBorder="1" applyAlignment="1">
      <alignment horizontal="center" vertical="center"/>
    </xf>
    <xf numFmtId="0" fontId="6" fillId="5" borderId="10" xfId="0" applyFont="1" applyFill="1" applyBorder="1" applyAlignment="1">
      <alignment horizontal="center" vertical="center" wrapText="1"/>
    </xf>
    <xf numFmtId="44" fontId="6" fillId="0" borderId="20" xfId="0" applyNumberFormat="1" applyFont="1" applyBorder="1" applyAlignment="1">
      <alignment horizontal="center" vertical="center"/>
    </xf>
    <xf numFmtId="0" fontId="6" fillId="0" borderId="22" xfId="0" applyFont="1" applyBorder="1" applyAlignment="1">
      <alignment horizontal="center" vertical="center"/>
    </xf>
    <xf numFmtId="44"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2" fillId="0" borderId="10" xfId="0" applyFont="1" applyBorder="1" applyAlignment="1">
      <alignment horizontal="center" vertical="center" wrapText="1"/>
    </xf>
    <xf numFmtId="44" fontId="0" fillId="0" borderId="16"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44" fontId="0" fillId="0" borderId="10" xfId="0" applyNumberFormat="1" applyBorder="1" applyAlignment="1">
      <alignment horizontal="center" vertical="center"/>
    </xf>
    <xf numFmtId="0" fontId="0" fillId="0" borderId="10"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6" fillId="5" borderId="18" xfId="0" applyFont="1" applyFill="1" applyBorder="1" applyAlignment="1">
      <alignment horizontal="center" vertical="center" wrapText="1"/>
    </xf>
    <xf numFmtId="44" fontId="6" fillId="0" borderId="20" xfId="0" applyNumberFormat="1" applyFont="1" applyBorder="1" applyAlignment="1">
      <alignment horizontal="center"/>
    </xf>
    <xf numFmtId="44" fontId="6" fillId="0" borderId="22" xfId="0" applyNumberFormat="1" applyFont="1" applyBorder="1" applyAlignment="1">
      <alignment horizontal="center"/>
    </xf>
    <xf numFmtId="0" fontId="6" fillId="0" borderId="22" xfId="0" applyFont="1" applyBorder="1" applyAlignment="1">
      <alignment horizont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44" fontId="6" fillId="0" borderId="10"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horizontal="center"/>
    </xf>
    <xf numFmtId="44" fontId="0" fillId="0" borderId="17" xfId="0" applyNumberFormat="1" applyBorder="1" applyAlignment="1">
      <alignment horizontal="center" vertical="center"/>
    </xf>
    <xf numFmtId="44" fontId="0" fillId="0" borderId="18" xfId="0" applyNumberFormat="1" applyBorder="1" applyAlignment="1">
      <alignment horizontal="center" vertical="center"/>
    </xf>
    <xf numFmtId="44"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0" fillId="8" borderId="20" xfId="0" applyFill="1" applyBorder="1" applyAlignment="1">
      <alignment horizontal="center" vertical="center"/>
    </xf>
    <xf numFmtId="0" fontId="0" fillId="8" borderId="25" xfId="0" applyFill="1" applyBorder="1" applyAlignment="1">
      <alignment horizontal="center" vertical="center"/>
    </xf>
    <xf numFmtId="0" fontId="0" fillId="8" borderId="22" xfId="0" applyFill="1" applyBorder="1" applyAlignment="1">
      <alignment horizontal="center" vertical="center"/>
    </xf>
    <xf numFmtId="0" fontId="0" fillId="8" borderId="20" xfId="0" applyFill="1" applyBorder="1" applyAlignment="1">
      <alignment horizontal="left" vertical="center" wrapText="1"/>
    </xf>
    <xf numFmtId="0" fontId="0" fillId="8" borderId="25" xfId="0" applyFill="1" applyBorder="1" applyAlignment="1">
      <alignment horizontal="left" vertical="center" wrapText="1"/>
    </xf>
    <xf numFmtId="0" fontId="0" fillId="8" borderId="22" xfId="0" applyFill="1" applyBorder="1" applyAlignment="1">
      <alignment horizontal="left" vertical="center" wrapText="1"/>
    </xf>
    <xf numFmtId="44" fontId="0" fillId="10" borderId="16" xfId="1" applyFont="1" applyFill="1" applyBorder="1" applyAlignment="1">
      <alignment horizontal="center" vertical="center" wrapText="1"/>
    </xf>
    <xf numFmtId="44" fontId="0" fillId="10" borderId="17" xfId="1" applyFont="1" applyFill="1" applyBorder="1" applyAlignment="1">
      <alignment horizontal="center" vertical="center" wrapText="1"/>
    </xf>
    <xf numFmtId="44" fontId="0" fillId="10" borderId="18" xfId="1" applyFont="1" applyFill="1" applyBorder="1" applyAlignment="1">
      <alignment horizontal="center" vertical="center" wrapText="1"/>
    </xf>
    <xf numFmtId="44" fontId="0" fillId="11" borderId="16" xfId="1" applyFont="1" applyFill="1" applyBorder="1" applyAlignment="1">
      <alignment horizontal="center" vertical="center" wrapText="1"/>
    </xf>
    <xf numFmtId="44" fontId="0" fillId="11" borderId="17" xfId="1" applyFont="1" applyFill="1" applyBorder="1" applyAlignment="1">
      <alignment horizontal="center" vertical="center" wrapText="1"/>
    </xf>
    <xf numFmtId="44" fontId="0" fillId="11" borderId="18" xfId="1" applyFont="1" applyFill="1" applyBorder="1" applyAlignment="1">
      <alignment horizontal="center" vertical="center" wrapText="1"/>
    </xf>
    <xf numFmtId="44" fontId="0" fillId="12" borderId="16" xfId="1" applyFont="1" applyFill="1" applyBorder="1" applyAlignment="1">
      <alignment horizontal="center" vertical="center" wrapText="1"/>
    </xf>
    <xf numFmtId="44" fontId="0" fillId="12" borderId="17" xfId="1" applyFont="1" applyFill="1" applyBorder="1" applyAlignment="1">
      <alignment horizontal="center" vertical="center" wrapText="1"/>
    </xf>
    <xf numFmtId="44" fontId="0" fillId="12" borderId="18" xfId="1" applyFont="1" applyFill="1" applyBorder="1" applyAlignment="1">
      <alignment horizontal="center" vertical="center" wrapText="1"/>
    </xf>
    <xf numFmtId="44" fontId="13" fillId="12" borderId="16" xfId="1" applyFont="1" applyFill="1" applyBorder="1" applyAlignment="1">
      <alignment horizontal="center" vertical="center" wrapText="1"/>
    </xf>
    <xf numFmtId="44" fontId="13" fillId="12" borderId="17" xfId="1" applyFont="1" applyFill="1" applyBorder="1" applyAlignment="1">
      <alignment horizontal="center" vertical="center" wrapText="1"/>
    </xf>
    <xf numFmtId="44" fontId="13" fillId="12" borderId="18" xfId="1" applyFont="1" applyFill="1" applyBorder="1" applyAlignment="1">
      <alignment horizontal="center" vertical="center" wrapText="1"/>
    </xf>
    <xf numFmtId="9" fontId="13" fillId="12" borderId="16" xfId="2" applyFont="1" applyFill="1" applyBorder="1" applyAlignment="1">
      <alignment horizontal="center" vertical="center" wrapText="1"/>
    </xf>
    <xf numFmtId="9" fontId="13" fillId="12" borderId="17" xfId="2" applyFont="1" applyFill="1" applyBorder="1" applyAlignment="1">
      <alignment horizontal="center" vertical="center" wrapText="1"/>
    </xf>
    <xf numFmtId="9" fontId="13" fillId="12" borderId="18" xfId="2" applyFont="1" applyFill="1" applyBorder="1" applyAlignment="1">
      <alignment horizontal="center" vertical="center" wrapText="1"/>
    </xf>
    <xf numFmtId="0" fontId="0" fillId="8" borderId="20" xfId="0" applyFill="1" applyBorder="1" applyAlignment="1">
      <alignment horizontal="left" vertical="top" wrapText="1"/>
    </xf>
    <xf numFmtId="0" fontId="0" fillId="8" borderId="25" xfId="0" applyFill="1" applyBorder="1" applyAlignment="1">
      <alignment horizontal="left" vertical="top" wrapText="1"/>
    </xf>
    <xf numFmtId="0" fontId="0" fillId="8" borderId="22" xfId="0" applyFill="1" applyBorder="1" applyAlignment="1">
      <alignment horizontal="left" vertical="top" wrapText="1"/>
    </xf>
    <xf numFmtId="0" fontId="0" fillId="14" borderId="27" xfId="0" applyFill="1" applyBorder="1" applyAlignment="1">
      <alignment horizontal="center" vertical="center"/>
    </xf>
    <xf numFmtId="0" fontId="0" fillId="14" borderId="28" xfId="0" applyFill="1" applyBorder="1" applyAlignment="1">
      <alignment horizontal="center" vertical="center"/>
    </xf>
    <xf numFmtId="0" fontId="0" fillId="14" borderId="29" xfId="0" applyFill="1" applyBorder="1" applyAlignment="1">
      <alignment horizontal="center" vertical="center"/>
    </xf>
    <xf numFmtId="0" fontId="0" fillId="14" borderId="26" xfId="0" applyFill="1" applyBorder="1" applyAlignment="1">
      <alignment horizontal="center" vertical="center"/>
    </xf>
    <xf numFmtId="0" fontId="0" fillId="14" borderId="0" xfId="0" applyFill="1" applyBorder="1" applyAlignment="1">
      <alignment horizontal="center" vertical="center"/>
    </xf>
    <xf numFmtId="0" fontId="0" fillId="14" borderId="19" xfId="0" applyFill="1" applyBorder="1" applyAlignment="1">
      <alignment horizontal="center" vertical="center"/>
    </xf>
    <xf numFmtId="0" fontId="0" fillId="14" borderId="21" xfId="0" applyFill="1" applyBorder="1" applyAlignment="1">
      <alignment horizontal="center" vertical="center"/>
    </xf>
    <xf numFmtId="0" fontId="0" fillId="14" borderId="23" xfId="0" applyFill="1" applyBorder="1" applyAlignment="1">
      <alignment horizontal="center" vertical="center"/>
    </xf>
    <xf numFmtId="0" fontId="0" fillId="14" borderId="30" xfId="0" applyFill="1" applyBorder="1" applyAlignment="1">
      <alignment horizontal="center" vertical="center"/>
    </xf>
    <xf numFmtId="44" fontId="0" fillId="14" borderId="27" xfId="1" applyFont="1" applyFill="1" applyBorder="1" applyAlignment="1">
      <alignment horizontal="center" vertical="center" wrapText="1"/>
    </xf>
    <xf numFmtId="44" fontId="0" fillId="14" borderId="28" xfId="1" applyFont="1" applyFill="1" applyBorder="1" applyAlignment="1">
      <alignment horizontal="center" vertical="center" wrapText="1"/>
    </xf>
    <xf numFmtId="44" fontId="0" fillId="14" borderId="29" xfId="1" applyFont="1" applyFill="1" applyBorder="1" applyAlignment="1">
      <alignment horizontal="center" vertical="center" wrapText="1"/>
    </xf>
    <xf numFmtId="44" fontId="0" fillId="14" borderId="26" xfId="1" applyFont="1" applyFill="1" applyBorder="1" applyAlignment="1">
      <alignment horizontal="center" vertical="center" wrapText="1"/>
    </xf>
    <xf numFmtId="44" fontId="0" fillId="14" borderId="0" xfId="1" applyFont="1" applyFill="1" applyBorder="1" applyAlignment="1">
      <alignment horizontal="center" vertical="center" wrapText="1"/>
    </xf>
    <xf numFmtId="44" fontId="0" fillId="14" borderId="19" xfId="1" applyFont="1" applyFill="1" applyBorder="1" applyAlignment="1">
      <alignment horizontal="center" vertical="center" wrapText="1"/>
    </xf>
    <xf numFmtId="44" fontId="0" fillId="14" borderId="21" xfId="1" applyFont="1" applyFill="1" applyBorder="1" applyAlignment="1">
      <alignment horizontal="center" vertical="center" wrapText="1"/>
    </xf>
    <xf numFmtId="44" fontId="0" fillId="14" borderId="23" xfId="1" applyFont="1" applyFill="1" applyBorder="1" applyAlignment="1">
      <alignment horizontal="center" vertical="center" wrapText="1"/>
    </xf>
    <xf numFmtId="44" fontId="0" fillId="14" borderId="30" xfId="1" applyFont="1" applyFill="1" applyBorder="1" applyAlignment="1">
      <alignment horizontal="center" vertical="center" wrapText="1"/>
    </xf>
    <xf numFmtId="165" fontId="6" fillId="12" borderId="10" xfId="0" applyNumberFormat="1" applyFont="1" applyFill="1" applyBorder="1" applyAlignment="1">
      <alignment horizontal="center" vertical="center" wrapText="1"/>
    </xf>
    <xf numFmtId="0" fontId="0" fillId="0" borderId="26" xfId="0" applyBorder="1" applyAlignment="1">
      <alignment horizontal="center"/>
    </xf>
    <xf numFmtId="0" fontId="0" fillId="0" borderId="0" xfId="0" applyBorder="1" applyAlignment="1">
      <alignment horizontal="center"/>
    </xf>
    <xf numFmtId="44" fontId="6" fillId="0" borderId="10" xfId="1" applyFont="1" applyBorder="1" applyAlignment="1">
      <alignment horizontal="center" vertical="center" wrapText="1"/>
    </xf>
    <xf numFmtId="0" fontId="0" fillId="2" borderId="10"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44" fontId="0" fillId="0" borderId="10" xfId="1" applyFont="1" applyBorder="1" applyAlignment="1">
      <alignment horizontal="center" vertical="center"/>
    </xf>
    <xf numFmtId="0" fontId="6" fillId="2" borderId="10" xfId="0" applyFont="1" applyFill="1" applyBorder="1" applyAlignment="1">
      <alignment horizontal="center" vertical="center" wrapText="1"/>
    </xf>
    <xf numFmtId="44" fontId="0" fillId="13" borderId="10" xfId="1" applyFont="1" applyFill="1" applyBorder="1" applyAlignment="1">
      <alignment horizontal="center" vertical="center"/>
    </xf>
    <xf numFmtId="44" fontId="0" fillId="4" borderId="10" xfId="1" applyFont="1" applyFill="1" applyBorder="1" applyAlignment="1">
      <alignment horizontal="center" vertical="center"/>
    </xf>
    <xf numFmtId="0" fontId="6" fillId="10" borderId="10" xfId="0" applyFont="1" applyFill="1" applyBorder="1" applyAlignment="1">
      <alignment horizontal="center" vertical="center" wrapText="1"/>
    </xf>
    <xf numFmtId="165" fontId="6" fillId="11" borderId="10" xfId="0" applyNumberFormat="1" applyFont="1" applyFill="1" applyBorder="1" applyAlignment="1">
      <alignment horizontal="center" vertical="center" wrapText="1"/>
    </xf>
    <xf numFmtId="44" fontId="6" fillId="0" borderId="10" xfId="1" applyFont="1" applyBorder="1" applyAlignment="1">
      <alignment horizontal="center" vertical="center"/>
    </xf>
    <xf numFmtId="44" fontId="0" fillId="2" borderId="10" xfId="1" applyFont="1" applyFill="1" applyBorder="1" applyAlignment="1">
      <alignment horizontal="center" vertical="center"/>
    </xf>
    <xf numFmtId="44" fontId="0" fillId="7" borderId="10" xfId="1" applyFont="1" applyFill="1" applyBorder="1" applyAlignment="1">
      <alignment horizontal="center" vertical="center"/>
    </xf>
    <xf numFmtId="44" fontId="1" fillId="4" borderId="10" xfId="1" applyFont="1" applyFill="1" applyBorder="1" applyAlignment="1">
      <alignment horizontal="center" vertical="center" wrapText="1"/>
    </xf>
    <xf numFmtId="44" fontId="1" fillId="13" borderId="16" xfId="1" applyFont="1" applyFill="1" applyBorder="1" applyAlignment="1">
      <alignment horizontal="center" vertical="center" wrapText="1"/>
    </xf>
    <xf numFmtId="44" fontId="1" fillId="13" borderId="17" xfId="1" applyFont="1" applyFill="1" applyBorder="1" applyAlignment="1">
      <alignment horizontal="center" vertical="center" wrapText="1"/>
    </xf>
    <xf numFmtId="44" fontId="1" fillId="13" borderId="18" xfId="1" applyFont="1" applyFill="1" applyBorder="1" applyAlignment="1">
      <alignment horizontal="center" vertical="center" wrapText="1"/>
    </xf>
    <xf numFmtId="0" fontId="6" fillId="8" borderId="10" xfId="0" applyFont="1" applyFill="1" applyBorder="1" applyAlignment="1">
      <alignment horizontal="center" vertical="center"/>
    </xf>
    <xf numFmtId="0" fontId="6" fillId="0" borderId="10" xfId="0" applyFont="1" applyBorder="1" applyAlignment="1">
      <alignment horizontal="center" vertical="center" wrapText="1"/>
    </xf>
    <xf numFmtId="0" fontId="6" fillId="4" borderId="10" xfId="0" applyFont="1" applyFill="1" applyBorder="1" applyAlignment="1">
      <alignment horizontal="center" vertical="center"/>
    </xf>
  </cellXfs>
  <cellStyles count="3">
    <cellStyle name="Moeda" xfId="1" builtinId="4"/>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234D-CC70-4835-BF55-42B17015520C}">
  <dimension ref="C4:F10"/>
  <sheetViews>
    <sheetView tabSelected="1" workbookViewId="0">
      <selection activeCell="O10" sqref="O10"/>
    </sheetView>
  </sheetViews>
  <sheetFormatPr defaultRowHeight="15" x14ac:dyDescent="0.25"/>
  <cols>
    <col min="3" max="3" width="46.85546875" customWidth="1"/>
    <col min="5" max="5" width="23.140625" customWidth="1"/>
    <col min="6" max="6" width="18.85546875" customWidth="1"/>
  </cols>
  <sheetData>
    <row r="4" spans="3:6" ht="47.25" x14ac:dyDescent="0.25">
      <c r="C4" s="52" t="s">
        <v>760</v>
      </c>
      <c r="D4" s="52" t="s">
        <v>761</v>
      </c>
      <c r="E4" s="52" t="s">
        <v>776</v>
      </c>
      <c r="F4" s="52" t="s">
        <v>777</v>
      </c>
    </row>
    <row r="5" spans="3:6" ht="15.75" x14ac:dyDescent="0.25">
      <c r="C5" s="53" t="s">
        <v>762</v>
      </c>
      <c r="D5" s="54">
        <v>114</v>
      </c>
      <c r="E5" s="43">
        <f>'EVENTOS TÉCNICOS'!G179</f>
        <v>52078.016033333341</v>
      </c>
      <c r="F5" s="43">
        <f>E5*D5</f>
        <v>5936893.827800001</v>
      </c>
    </row>
    <row r="6" spans="3:6" ht="15.75" x14ac:dyDescent="0.25">
      <c r="C6" s="53" t="s">
        <v>763</v>
      </c>
      <c r="D6" s="54">
        <v>9</v>
      </c>
      <c r="E6" s="43">
        <f>'EVENTOS DE ENTREGA'!G206</f>
        <v>134277.2899</v>
      </c>
      <c r="F6" s="43">
        <f t="shared" ref="F6:F9" si="0">E6*D6</f>
        <v>1208495.6091</v>
      </c>
    </row>
    <row r="7" spans="3:6" ht="15.75" x14ac:dyDescent="0.25">
      <c r="C7" s="53" t="s">
        <v>764</v>
      </c>
      <c r="D7" s="54">
        <v>17</v>
      </c>
      <c r="E7" s="43">
        <f>'EVENTO DE DIVULGAÇÃO'!G179</f>
        <v>87939.605916666667</v>
      </c>
      <c r="F7" s="43">
        <f t="shared" si="0"/>
        <v>1494973.3005833332</v>
      </c>
    </row>
    <row r="8" spans="3:6" ht="15.75" x14ac:dyDescent="0.25">
      <c r="C8" s="53" t="s">
        <v>765</v>
      </c>
      <c r="D8" s="54">
        <v>74</v>
      </c>
      <c r="E8" s="43">
        <f>'EVENTOS INTERNO'!G78</f>
        <v>5975.4350000000004</v>
      </c>
      <c r="F8" s="43">
        <f t="shared" si="0"/>
        <v>442182.19</v>
      </c>
    </row>
    <row r="9" spans="3:6" ht="15.75" x14ac:dyDescent="0.25">
      <c r="C9" s="53" t="s">
        <v>766</v>
      </c>
      <c r="D9" s="54">
        <v>9</v>
      </c>
      <c r="E9" s="43">
        <f>'EVENTOS COMEMORATIVOS'!G183</f>
        <v>79757.506133333343</v>
      </c>
      <c r="F9" s="43">
        <f t="shared" si="0"/>
        <v>717817.55520000006</v>
      </c>
    </row>
    <row r="10" spans="3:6" ht="24" customHeight="1" x14ac:dyDescent="0.25">
      <c r="C10" s="78" t="s">
        <v>778</v>
      </c>
      <c r="D10" s="78"/>
      <c r="E10" s="78"/>
      <c r="F10" s="55">
        <f>SUM(F5:F9)</f>
        <v>9800362.4826833326</v>
      </c>
    </row>
  </sheetData>
  <mergeCells count="1">
    <mergeCell ref="C10:E10"/>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11F5E-356A-4851-99E3-25251BCE19DE}">
  <dimension ref="B2:I181"/>
  <sheetViews>
    <sheetView topLeftCell="A76" zoomScale="87" zoomScaleNormal="87" workbookViewId="0">
      <selection activeCell="I82" sqref="I82"/>
    </sheetView>
  </sheetViews>
  <sheetFormatPr defaultRowHeight="15" x14ac:dyDescent="0.25"/>
  <cols>
    <col min="2" max="2" width="10.42578125" bestFit="1" customWidth="1"/>
    <col min="3" max="3" width="19.7109375" customWidth="1"/>
    <col min="4" max="4" width="45.5703125" bestFit="1" customWidth="1"/>
    <col min="5" max="5" width="28.5703125" customWidth="1"/>
    <col min="6" max="6" width="14" customWidth="1"/>
    <col min="7" max="7" width="20.42578125" customWidth="1"/>
    <col min="8" max="8" width="19.140625" customWidth="1"/>
    <col min="9" max="9" width="52.5703125" customWidth="1"/>
  </cols>
  <sheetData>
    <row r="2" spans="2:8" ht="15.75" customHeight="1" x14ac:dyDescent="0.25">
      <c r="B2" s="116" t="s">
        <v>0</v>
      </c>
      <c r="C2" s="117"/>
      <c r="D2" s="117"/>
      <c r="E2" s="117"/>
      <c r="F2" s="117"/>
      <c r="G2" s="117"/>
      <c r="H2" s="117"/>
    </row>
    <row r="3" spans="2:8" ht="56.25" customHeight="1" x14ac:dyDescent="0.25">
      <c r="B3" s="11" t="s">
        <v>1</v>
      </c>
      <c r="C3" s="11" t="s">
        <v>2</v>
      </c>
      <c r="D3" s="11" t="s">
        <v>3</v>
      </c>
      <c r="E3" s="11" t="s">
        <v>396</v>
      </c>
      <c r="F3" s="11" t="s">
        <v>4</v>
      </c>
      <c r="G3" s="47" t="s">
        <v>759</v>
      </c>
      <c r="H3" s="47" t="s">
        <v>767</v>
      </c>
    </row>
    <row r="4" spans="2:8" ht="15.75" x14ac:dyDescent="0.25">
      <c r="B4" s="8" t="s">
        <v>5</v>
      </c>
      <c r="C4" s="46" t="s">
        <v>752</v>
      </c>
      <c r="D4" s="8" t="s">
        <v>6</v>
      </c>
      <c r="E4" s="8" t="s">
        <v>7</v>
      </c>
      <c r="F4" s="8">
        <v>20</v>
      </c>
      <c r="G4" s="43">
        <f>'ANÁLISE DOS PREÇOS COLETADOS'!AD3</f>
        <v>206.01</v>
      </c>
      <c r="H4" s="43">
        <f>G4*F4</f>
        <v>4120.2</v>
      </c>
    </row>
    <row r="5" spans="2:8" ht="15.75" customHeight="1" x14ac:dyDescent="0.25">
      <c r="B5" s="84" t="s">
        <v>397</v>
      </c>
      <c r="C5" s="84"/>
      <c r="D5" s="84"/>
      <c r="E5" s="84"/>
      <c r="F5" s="84"/>
      <c r="G5" s="99">
        <f>H4</f>
        <v>4120.2</v>
      </c>
      <c r="H5" s="100"/>
    </row>
    <row r="6" spans="2:8" ht="15.75" customHeight="1" x14ac:dyDescent="0.25">
      <c r="B6" s="84" t="s">
        <v>8</v>
      </c>
      <c r="C6" s="84"/>
      <c r="D6" s="84"/>
      <c r="E6" s="84"/>
      <c r="F6" s="84"/>
      <c r="G6" s="84"/>
      <c r="H6" s="84"/>
    </row>
    <row r="7" spans="2:8" ht="15.75" customHeight="1" x14ac:dyDescent="0.25">
      <c r="B7" s="96" t="s">
        <v>1</v>
      </c>
      <c r="C7" s="96" t="s">
        <v>2</v>
      </c>
      <c r="D7" s="96" t="s">
        <v>3</v>
      </c>
      <c r="E7" s="96" t="s">
        <v>396</v>
      </c>
      <c r="F7" s="88" t="s">
        <v>4</v>
      </c>
      <c r="G7" s="98" t="s">
        <v>759</v>
      </c>
      <c r="H7" s="98" t="s">
        <v>767</v>
      </c>
    </row>
    <row r="8" spans="2:8" ht="33" customHeight="1" x14ac:dyDescent="0.25">
      <c r="B8" s="97"/>
      <c r="C8" s="97"/>
      <c r="D8" s="97"/>
      <c r="E8" s="97"/>
      <c r="F8" s="103"/>
      <c r="G8" s="79"/>
      <c r="H8" s="79"/>
    </row>
    <row r="9" spans="2:8" ht="31.5" x14ac:dyDescent="0.25">
      <c r="B9" s="3" t="s">
        <v>9</v>
      </c>
      <c r="C9" s="3" t="s">
        <v>10</v>
      </c>
      <c r="D9" s="3" t="s">
        <v>11</v>
      </c>
      <c r="E9" s="3" t="s">
        <v>12</v>
      </c>
      <c r="F9" s="10">
        <v>25</v>
      </c>
      <c r="G9" s="44">
        <f>'ANÁLISE DOS PREÇOS COLETADOS'!AD5</f>
        <v>3.21</v>
      </c>
      <c r="H9" s="44">
        <f>G9*F9</f>
        <v>80.25</v>
      </c>
    </row>
    <row r="10" spans="2:8" ht="63" x14ac:dyDescent="0.25">
      <c r="B10" s="3" t="s">
        <v>13</v>
      </c>
      <c r="C10" s="3" t="s">
        <v>14</v>
      </c>
      <c r="D10" s="3" t="s">
        <v>15</v>
      </c>
      <c r="E10" s="3" t="s">
        <v>12</v>
      </c>
      <c r="F10" s="10">
        <v>7</v>
      </c>
      <c r="G10" s="44">
        <f>'ANÁLISE DOS PREÇOS COLETADOS'!AD7</f>
        <v>22.5</v>
      </c>
      <c r="H10" s="44">
        <f t="shared" ref="H10:H13" si="0">G10*F10</f>
        <v>157.5</v>
      </c>
    </row>
    <row r="11" spans="2:8" ht="47.25" x14ac:dyDescent="0.25">
      <c r="B11" s="3" t="s">
        <v>16</v>
      </c>
      <c r="C11" s="3" t="s">
        <v>17</v>
      </c>
      <c r="D11" s="3" t="s">
        <v>18</v>
      </c>
      <c r="E11" s="3" t="s">
        <v>19</v>
      </c>
      <c r="F11" s="10">
        <v>20</v>
      </c>
      <c r="G11" s="44">
        <f>'ANÁLISE DOS PREÇOS COLETADOS'!AD24</f>
        <v>65</v>
      </c>
      <c r="H11" s="44">
        <f t="shared" si="0"/>
        <v>1300</v>
      </c>
    </row>
    <row r="12" spans="2:8" ht="63" x14ac:dyDescent="0.25">
      <c r="B12" s="3" t="s">
        <v>20</v>
      </c>
      <c r="C12" s="3" t="s">
        <v>21</v>
      </c>
      <c r="D12" s="3" t="s">
        <v>22</v>
      </c>
      <c r="E12" s="3" t="s">
        <v>23</v>
      </c>
      <c r="F12" s="10">
        <v>7</v>
      </c>
      <c r="G12" s="44">
        <f>'ANÁLISE DOS PREÇOS COLETADOS'!AD25</f>
        <v>10.666666666666666</v>
      </c>
      <c r="H12" s="44">
        <f t="shared" si="0"/>
        <v>74.666666666666657</v>
      </c>
    </row>
    <row r="13" spans="2:8" ht="409.5" x14ac:dyDescent="0.25">
      <c r="B13" s="3" t="s">
        <v>24</v>
      </c>
      <c r="C13" s="3" t="s">
        <v>25</v>
      </c>
      <c r="D13" s="1" t="s">
        <v>26</v>
      </c>
      <c r="E13" s="3" t="s">
        <v>19</v>
      </c>
      <c r="F13" s="10">
        <v>35</v>
      </c>
      <c r="G13" s="44">
        <f>'ANÁLISE DOS PREÇOS COLETADOS'!AD9</f>
        <v>21</v>
      </c>
      <c r="H13" s="44">
        <f t="shared" si="0"/>
        <v>735</v>
      </c>
    </row>
    <row r="14" spans="2:8" ht="63" x14ac:dyDescent="0.25">
      <c r="B14" s="107" t="s">
        <v>27</v>
      </c>
      <c r="C14" s="110" t="s">
        <v>28</v>
      </c>
      <c r="D14" s="8" t="s">
        <v>29</v>
      </c>
      <c r="E14" s="113" t="s">
        <v>19</v>
      </c>
      <c r="F14" s="110">
        <v>35</v>
      </c>
      <c r="G14" s="85">
        <f>'ANÁLISE DOS PREÇOS COLETADOS'!AD12</f>
        <v>18</v>
      </c>
      <c r="H14" s="90">
        <f>G14*F14</f>
        <v>630</v>
      </c>
    </row>
    <row r="15" spans="2:8" ht="47.25" x14ac:dyDescent="0.25">
      <c r="B15" s="108"/>
      <c r="C15" s="111"/>
      <c r="D15" s="8" t="s">
        <v>30</v>
      </c>
      <c r="E15" s="114"/>
      <c r="F15" s="111"/>
      <c r="G15" s="86"/>
      <c r="H15" s="91"/>
    </row>
    <row r="16" spans="2:8" ht="31.5" x14ac:dyDescent="0.25">
      <c r="B16" s="108"/>
      <c r="C16" s="111"/>
      <c r="D16" s="8" t="s">
        <v>31</v>
      </c>
      <c r="E16" s="114"/>
      <c r="F16" s="111"/>
      <c r="G16" s="86"/>
      <c r="H16" s="91"/>
    </row>
    <row r="17" spans="2:8" ht="15.75" x14ac:dyDescent="0.25">
      <c r="B17" s="108"/>
      <c r="C17" s="111"/>
      <c r="D17" s="8" t="s">
        <v>32</v>
      </c>
      <c r="E17" s="114"/>
      <c r="F17" s="111"/>
      <c r="G17" s="86"/>
      <c r="H17" s="91"/>
    </row>
    <row r="18" spans="2:8" ht="31.5" x14ac:dyDescent="0.25">
      <c r="B18" s="108"/>
      <c r="C18" s="111"/>
      <c r="D18" s="8" t="s">
        <v>33</v>
      </c>
      <c r="E18" s="114"/>
      <c r="F18" s="111"/>
      <c r="G18" s="86"/>
      <c r="H18" s="91"/>
    </row>
    <row r="19" spans="2:8" ht="78.75" x14ac:dyDescent="0.25">
      <c r="B19" s="108"/>
      <c r="C19" s="111"/>
      <c r="D19" s="8" t="s">
        <v>34</v>
      </c>
      <c r="E19" s="114"/>
      <c r="F19" s="111"/>
      <c r="G19" s="86"/>
      <c r="H19" s="91"/>
    </row>
    <row r="20" spans="2:8" ht="31.5" x14ac:dyDescent="0.25">
      <c r="B20" s="108"/>
      <c r="C20" s="111"/>
      <c r="D20" s="8" t="s">
        <v>35</v>
      </c>
      <c r="E20" s="114"/>
      <c r="F20" s="111"/>
      <c r="G20" s="86"/>
      <c r="H20" s="91"/>
    </row>
    <row r="21" spans="2:8" ht="15.75" x14ac:dyDescent="0.25">
      <c r="B21" s="108"/>
      <c r="C21" s="111"/>
      <c r="D21" s="8" t="s">
        <v>36</v>
      </c>
      <c r="E21" s="114"/>
      <c r="F21" s="111"/>
      <c r="G21" s="86"/>
      <c r="H21" s="91"/>
    </row>
    <row r="22" spans="2:8" ht="15.75" x14ac:dyDescent="0.25">
      <c r="B22" s="109"/>
      <c r="C22" s="112"/>
      <c r="D22" s="8" t="s">
        <v>37</v>
      </c>
      <c r="E22" s="115"/>
      <c r="F22" s="112"/>
      <c r="G22" s="87"/>
      <c r="H22" s="91"/>
    </row>
    <row r="23" spans="2:8" ht="63" x14ac:dyDescent="0.25">
      <c r="B23" s="3" t="s">
        <v>38</v>
      </c>
      <c r="C23" s="3" t="s">
        <v>39</v>
      </c>
      <c r="D23" s="2" t="s">
        <v>40</v>
      </c>
      <c r="E23" s="3" t="s">
        <v>41</v>
      </c>
      <c r="F23" s="10">
        <v>3</v>
      </c>
      <c r="G23" s="44">
        <f>'ANÁLISE DOS PREÇOS COLETADOS'!AD27</f>
        <v>45.225000000000001</v>
      </c>
      <c r="H23" s="44">
        <f>G23*F23</f>
        <v>135.67500000000001</v>
      </c>
    </row>
    <row r="24" spans="2:8" ht="15.75" x14ac:dyDescent="0.25">
      <c r="B24" s="94" t="s">
        <v>398</v>
      </c>
      <c r="C24" s="95"/>
      <c r="D24" s="95"/>
      <c r="E24" s="95"/>
      <c r="F24" s="95"/>
      <c r="G24" s="99">
        <f>SUM(H9:H23)</f>
        <v>3113.0916666666672</v>
      </c>
      <c r="H24" s="101"/>
    </row>
    <row r="25" spans="2:8" ht="15.75" customHeight="1" x14ac:dyDescent="0.25">
      <c r="B25" s="84" t="s">
        <v>42</v>
      </c>
      <c r="C25" s="84"/>
      <c r="D25" s="84"/>
      <c r="E25" s="84"/>
      <c r="F25" s="84"/>
      <c r="G25" s="84"/>
      <c r="H25" s="84"/>
    </row>
    <row r="26" spans="2:8" ht="15.75" customHeight="1" x14ac:dyDescent="0.25">
      <c r="B26" s="96" t="s">
        <v>1</v>
      </c>
      <c r="C26" s="96" t="s">
        <v>2</v>
      </c>
      <c r="D26" s="96" t="s">
        <v>3</v>
      </c>
      <c r="E26" s="96" t="s">
        <v>396</v>
      </c>
      <c r="F26" s="88" t="s">
        <v>4</v>
      </c>
      <c r="G26" s="98" t="s">
        <v>759</v>
      </c>
      <c r="H26" s="98" t="s">
        <v>767</v>
      </c>
    </row>
    <row r="27" spans="2:8" ht="43.5" customHeight="1" x14ac:dyDescent="0.25">
      <c r="B27" s="97"/>
      <c r="C27" s="97"/>
      <c r="D27" s="97"/>
      <c r="E27" s="97"/>
      <c r="F27" s="103"/>
      <c r="G27" s="79"/>
      <c r="H27" s="79"/>
    </row>
    <row r="28" spans="2:8" ht="63" x14ac:dyDescent="0.25">
      <c r="B28" s="3" t="s">
        <v>43</v>
      </c>
      <c r="C28" s="3" t="s">
        <v>44</v>
      </c>
      <c r="D28" s="3" t="s">
        <v>45</v>
      </c>
      <c r="E28" s="3" t="s">
        <v>46</v>
      </c>
      <c r="F28" s="10">
        <v>1</v>
      </c>
      <c r="G28" s="44">
        <f>'ANÁLISE DOS PREÇOS COLETADOS'!AD29</f>
        <v>359.25875000000002</v>
      </c>
      <c r="H28" s="44">
        <f>G28*F28</f>
        <v>359.25875000000002</v>
      </c>
    </row>
    <row r="29" spans="2:8" ht="63" x14ac:dyDescent="0.25">
      <c r="B29" s="3" t="s">
        <v>47</v>
      </c>
      <c r="C29" s="3" t="s">
        <v>48</v>
      </c>
      <c r="D29" s="3" t="s">
        <v>45</v>
      </c>
      <c r="E29" s="3" t="s">
        <v>49</v>
      </c>
      <c r="F29" s="10">
        <v>2</v>
      </c>
      <c r="G29" s="44">
        <f>'ANÁLISE DOS PREÇOS COLETADOS'!AD30</f>
        <v>50</v>
      </c>
      <c r="H29" s="44">
        <f t="shared" ref="H29:H31" si="1">G29*F29</f>
        <v>100</v>
      </c>
    </row>
    <row r="30" spans="2:8" ht="47.25" x14ac:dyDescent="0.25">
      <c r="B30" s="3" t="s">
        <v>50</v>
      </c>
      <c r="C30" s="3" t="s">
        <v>51</v>
      </c>
      <c r="D30" s="3" t="s">
        <v>52</v>
      </c>
      <c r="E30" s="3" t="s">
        <v>46</v>
      </c>
      <c r="F30" s="10">
        <v>1</v>
      </c>
      <c r="G30" s="44">
        <f>'ANÁLISE DOS PREÇOS COLETADOS'!AD31</f>
        <v>310</v>
      </c>
      <c r="H30" s="44">
        <f t="shared" si="1"/>
        <v>310</v>
      </c>
    </row>
    <row r="31" spans="2:8" ht="47.25" x14ac:dyDescent="0.25">
      <c r="B31" s="3" t="s">
        <v>53</v>
      </c>
      <c r="C31" s="3" t="s">
        <v>54</v>
      </c>
      <c r="D31" s="3" t="s">
        <v>55</v>
      </c>
      <c r="E31" s="3" t="s">
        <v>49</v>
      </c>
      <c r="F31" s="10">
        <v>2</v>
      </c>
      <c r="G31" s="44">
        <f>'ANÁLISE DOS PREÇOS COLETADOS'!AD32</f>
        <v>25.301500000000001</v>
      </c>
      <c r="H31" s="44">
        <f t="shared" si="1"/>
        <v>50.603000000000002</v>
      </c>
    </row>
    <row r="32" spans="2:8" ht="15.75" x14ac:dyDescent="0.25">
      <c r="B32" s="92" t="s">
        <v>399</v>
      </c>
      <c r="C32" s="93"/>
      <c r="D32" s="93"/>
      <c r="E32" s="93"/>
      <c r="F32" s="93"/>
      <c r="G32" s="80">
        <f>SUM(H28:H31)</f>
        <v>819.86174999999992</v>
      </c>
      <c r="H32" s="81"/>
    </row>
    <row r="33" spans="2:8" ht="15.75" customHeight="1" x14ac:dyDescent="0.25">
      <c r="B33" s="88" t="s">
        <v>56</v>
      </c>
      <c r="C33" s="89"/>
      <c r="D33" s="89"/>
      <c r="E33" s="89"/>
      <c r="F33" s="89"/>
      <c r="G33" s="89"/>
      <c r="H33" s="89"/>
    </row>
    <row r="34" spans="2:8" ht="15.75" customHeight="1" x14ac:dyDescent="0.25">
      <c r="B34" s="102" t="s">
        <v>1</v>
      </c>
      <c r="C34" s="102" t="s">
        <v>2</v>
      </c>
      <c r="D34" s="102" t="s">
        <v>3</v>
      </c>
      <c r="E34" s="102" t="s">
        <v>396</v>
      </c>
      <c r="F34" s="94" t="s">
        <v>4</v>
      </c>
      <c r="G34" s="79" t="s">
        <v>759</v>
      </c>
      <c r="H34" s="79" t="s">
        <v>767</v>
      </c>
    </row>
    <row r="35" spans="2:8" ht="45" customHeight="1" x14ac:dyDescent="0.25">
      <c r="B35" s="97"/>
      <c r="C35" s="97"/>
      <c r="D35" s="97"/>
      <c r="E35" s="97"/>
      <c r="F35" s="103"/>
      <c r="G35" s="79"/>
      <c r="H35" s="79"/>
    </row>
    <row r="36" spans="2:8" ht="78.75" x14ac:dyDescent="0.25">
      <c r="B36" s="3" t="s">
        <v>57</v>
      </c>
      <c r="C36" s="3" t="s">
        <v>58</v>
      </c>
      <c r="D36" s="3" t="s">
        <v>59</v>
      </c>
      <c r="E36" s="23" t="s">
        <v>361</v>
      </c>
      <c r="F36" s="10">
        <v>250</v>
      </c>
      <c r="G36" s="19">
        <f>'ANÁLISE DOS PREÇOS COLETADOS'!AD35</f>
        <v>21.912950000000002</v>
      </c>
      <c r="H36" s="44">
        <f>G36*F36</f>
        <v>5478.2375000000002</v>
      </c>
    </row>
    <row r="37" spans="2:8" ht="78.75" x14ac:dyDescent="0.25">
      <c r="B37" s="3" t="s">
        <v>60</v>
      </c>
      <c r="C37" s="3" t="s">
        <v>61</v>
      </c>
      <c r="D37" s="3" t="s">
        <v>59</v>
      </c>
      <c r="E37" s="23" t="s">
        <v>361</v>
      </c>
      <c r="F37" s="10">
        <v>50</v>
      </c>
      <c r="G37" s="44">
        <f>'ANÁLISE DOS PREÇOS COLETADOS'!AD39</f>
        <v>30</v>
      </c>
      <c r="H37" s="44">
        <f t="shared" ref="H37:H39" si="2">G37*F37</f>
        <v>1500</v>
      </c>
    </row>
    <row r="38" spans="2:8" ht="78.75" x14ac:dyDescent="0.25">
      <c r="B38" s="3" t="s">
        <v>62</v>
      </c>
      <c r="C38" s="3" t="s">
        <v>63</v>
      </c>
      <c r="D38" s="3" t="s">
        <v>59</v>
      </c>
      <c r="E38" s="23" t="s">
        <v>361</v>
      </c>
      <c r="F38" s="10">
        <v>32</v>
      </c>
      <c r="G38" s="44">
        <f>'ANÁLISE DOS PREÇOS COLETADOS'!AD40</f>
        <v>21.912950000000002</v>
      </c>
      <c r="H38" s="44">
        <f t="shared" si="2"/>
        <v>701.21440000000007</v>
      </c>
    </row>
    <row r="39" spans="2:8" ht="78.75" x14ac:dyDescent="0.25">
      <c r="B39" s="3" t="s">
        <v>64</v>
      </c>
      <c r="C39" s="3" t="s">
        <v>65</v>
      </c>
      <c r="D39" s="3" t="s">
        <v>59</v>
      </c>
      <c r="E39" s="23" t="s">
        <v>361</v>
      </c>
      <c r="F39" s="10">
        <v>60</v>
      </c>
      <c r="G39" s="44">
        <f>'ANÁLISE DOS PREÇOS COLETADOS'!AD37</f>
        <v>20</v>
      </c>
      <c r="H39" s="44">
        <f t="shared" si="2"/>
        <v>1200</v>
      </c>
    </row>
    <row r="40" spans="2:8" ht="15.75" x14ac:dyDescent="0.25">
      <c r="B40" s="94" t="s">
        <v>400</v>
      </c>
      <c r="C40" s="95"/>
      <c r="D40" s="95"/>
      <c r="E40" s="95"/>
      <c r="F40" s="95"/>
      <c r="G40" s="82">
        <f>SUM(H36:H39)</f>
        <v>8879.4519</v>
      </c>
      <c r="H40" s="83"/>
    </row>
    <row r="41" spans="2:8" ht="15.75" customHeight="1" x14ac:dyDescent="0.25">
      <c r="B41" s="84" t="s">
        <v>66</v>
      </c>
      <c r="C41" s="84"/>
      <c r="D41" s="84"/>
      <c r="E41" s="84"/>
      <c r="F41" s="84"/>
      <c r="G41" s="84"/>
      <c r="H41" s="84"/>
    </row>
    <row r="42" spans="2:8" ht="15.75" customHeight="1" x14ac:dyDescent="0.25">
      <c r="B42" s="96" t="s">
        <v>1</v>
      </c>
      <c r="C42" s="96" t="s">
        <v>2</v>
      </c>
      <c r="D42" s="96" t="s">
        <v>3</v>
      </c>
      <c r="E42" s="96" t="s">
        <v>396</v>
      </c>
      <c r="F42" s="96" t="s">
        <v>4</v>
      </c>
      <c r="G42" s="98" t="s">
        <v>759</v>
      </c>
      <c r="H42" s="98" t="s">
        <v>767</v>
      </c>
    </row>
    <row r="43" spans="2:8" ht="40.5" customHeight="1" x14ac:dyDescent="0.25">
      <c r="B43" s="97"/>
      <c r="C43" s="97"/>
      <c r="D43" s="97"/>
      <c r="E43" s="97"/>
      <c r="F43" s="97"/>
      <c r="G43" s="79"/>
      <c r="H43" s="79"/>
    </row>
    <row r="44" spans="2:8" ht="78.75" x14ac:dyDescent="0.25">
      <c r="B44" s="3" t="s">
        <v>67</v>
      </c>
      <c r="C44" s="3" t="s">
        <v>68</v>
      </c>
      <c r="D44" s="3" t="s">
        <v>69</v>
      </c>
      <c r="E44" s="3" t="s">
        <v>70</v>
      </c>
      <c r="F44" s="10">
        <v>1</v>
      </c>
      <c r="G44" s="44">
        <f>'ANÁLISE DOS PREÇOS COLETADOS'!AD43</f>
        <v>500</v>
      </c>
      <c r="H44" s="44">
        <f>G44*F44</f>
        <v>500</v>
      </c>
    </row>
    <row r="45" spans="2:8" ht="15.75" x14ac:dyDescent="0.25">
      <c r="B45" s="3" t="s">
        <v>71</v>
      </c>
      <c r="C45" s="3" t="s">
        <v>72</v>
      </c>
      <c r="D45" s="3" t="s">
        <v>73</v>
      </c>
      <c r="E45" s="3" t="s">
        <v>70</v>
      </c>
      <c r="F45" s="10">
        <v>1</v>
      </c>
      <c r="G45" s="44">
        <f>'ANÁLISE DOS PREÇOS COLETADOS'!AD44</f>
        <v>28</v>
      </c>
      <c r="H45" s="44">
        <f t="shared" ref="H45:H74" si="3">G45*F45</f>
        <v>28</v>
      </c>
    </row>
    <row r="46" spans="2:8" ht="94.5" x14ac:dyDescent="0.25">
      <c r="B46" s="3" t="s">
        <v>74</v>
      </c>
      <c r="C46" s="3" t="s">
        <v>75</v>
      </c>
      <c r="D46" s="3" t="s">
        <v>76</v>
      </c>
      <c r="E46" s="3" t="s">
        <v>70</v>
      </c>
      <c r="F46" s="10">
        <v>3</v>
      </c>
      <c r="G46" s="44">
        <f>'ANÁLISE DOS PREÇOS COLETADOS'!AD46</f>
        <v>23</v>
      </c>
      <c r="H46" s="44">
        <f t="shared" si="3"/>
        <v>69</v>
      </c>
    </row>
    <row r="47" spans="2:8" ht="31.5" x14ac:dyDescent="0.25">
      <c r="B47" s="3" t="s">
        <v>77</v>
      </c>
      <c r="C47" s="3" t="s">
        <v>78</v>
      </c>
      <c r="D47" s="3" t="s">
        <v>79</v>
      </c>
      <c r="E47" s="3" t="s">
        <v>70</v>
      </c>
      <c r="F47" s="10">
        <v>2</v>
      </c>
      <c r="G47" s="44">
        <f>'ANÁLISE DOS PREÇOS COLETADOS'!AD48</f>
        <v>190</v>
      </c>
      <c r="H47" s="44">
        <f t="shared" si="3"/>
        <v>380</v>
      </c>
    </row>
    <row r="48" spans="2:8" ht="31.5" x14ac:dyDescent="0.25">
      <c r="B48" s="3" t="s">
        <v>80</v>
      </c>
      <c r="C48" s="3" t="s">
        <v>81</v>
      </c>
      <c r="D48" s="3" t="s">
        <v>82</v>
      </c>
      <c r="E48" s="3" t="s">
        <v>70</v>
      </c>
      <c r="F48" s="10">
        <v>2</v>
      </c>
      <c r="G48" s="44">
        <f>'ANÁLISE DOS PREÇOS COLETADOS'!AD47</f>
        <v>9.2800000000000011</v>
      </c>
      <c r="H48" s="44">
        <f t="shared" si="3"/>
        <v>18.560000000000002</v>
      </c>
    </row>
    <row r="49" spans="2:8" ht="31.5" x14ac:dyDescent="0.25">
      <c r="B49" s="3" t="s">
        <v>83</v>
      </c>
      <c r="C49" s="3" t="s">
        <v>84</v>
      </c>
      <c r="D49" s="3" t="s">
        <v>85</v>
      </c>
      <c r="E49" s="3" t="s">
        <v>70</v>
      </c>
      <c r="F49" s="10">
        <v>2</v>
      </c>
      <c r="G49" s="44">
        <f>'ANÁLISE DOS PREÇOS COLETADOS'!AD49</f>
        <v>90</v>
      </c>
      <c r="H49" s="44">
        <f t="shared" si="3"/>
        <v>180</v>
      </c>
    </row>
    <row r="50" spans="2:8" ht="31.5" x14ac:dyDescent="0.25">
      <c r="B50" s="3" t="s">
        <v>86</v>
      </c>
      <c r="C50" s="3" t="s">
        <v>84</v>
      </c>
      <c r="D50" s="3" t="s">
        <v>87</v>
      </c>
      <c r="E50" s="3" t="s">
        <v>70</v>
      </c>
      <c r="F50" s="10">
        <v>1</v>
      </c>
      <c r="G50" s="44">
        <f>'ANÁLISE DOS PREÇOS COLETADOS'!AD50</f>
        <v>87.5</v>
      </c>
      <c r="H50" s="44">
        <f t="shared" si="3"/>
        <v>87.5</v>
      </c>
    </row>
    <row r="51" spans="2:8" ht="31.5" x14ac:dyDescent="0.25">
      <c r="B51" s="3" t="s">
        <v>88</v>
      </c>
      <c r="C51" s="3" t="s">
        <v>89</v>
      </c>
      <c r="D51" s="3" t="s">
        <v>90</v>
      </c>
      <c r="E51" s="3" t="s">
        <v>70</v>
      </c>
      <c r="F51" s="10">
        <v>1</v>
      </c>
      <c r="G51" s="44">
        <f>'ANÁLISE DOS PREÇOS COLETADOS'!AD51</f>
        <v>43.002499999999998</v>
      </c>
      <c r="H51" s="44">
        <f t="shared" si="3"/>
        <v>43.002499999999998</v>
      </c>
    </row>
    <row r="52" spans="2:8" ht="189" x14ac:dyDescent="0.25">
      <c r="B52" s="3" t="s">
        <v>91</v>
      </c>
      <c r="C52" s="3" t="s">
        <v>92</v>
      </c>
      <c r="D52" s="3" t="s">
        <v>93</v>
      </c>
      <c r="E52" s="3" t="s">
        <v>70</v>
      </c>
      <c r="F52" s="10">
        <v>15</v>
      </c>
      <c r="G52" s="44">
        <f>'ANÁLISE DOS PREÇOS COLETADOS'!AD52</f>
        <v>20</v>
      </c>
      <c r="H52" s="44">
        <f>G52*F52</f>
        <v>300</v>
      </c>
    </row>
    <row r="53" spans="2:8" ht="157.5" x14ac:dyDescent="0.25">
      <c r="B53" s="3" t="s">
        <v>94</v>
      </c>
      <c r="C53" s="3" t="s">
        <v>95</v>
      </c>
      <c r="D53" s="3" t="s">
        <v>96</v>
      </c>
      <c r="E53" s="3" t="s">
        <v>70</v>
      </c>
      <c r="F53" s="10">
        <v>25</v>
      </c>
      <c r="G53" s="44">
        <f>'ANÁLISE DOS PREÇOS COLETADOS'!AD53</f>
        <v>38.5</v>
      </c>
      <c r="H53" s="44">
        <f t="shared" si="3"/>
        <v>962.5</v>
      </c>
    </row>
    <row r="54" spans="2:8" ht="31.5" x14ac:dyDescent="0.25">
      <c r="B54" s="3" t="s">
        <v>97</v>
      </c>
      <c r="C54" s="3" t="s">
        <v>98</v>
      </c>
      <c r="D54" s="3" t="s">
        <v>99</v>
      </c>
      <c r="E54" s="3" t="s">
        <v>7</v>
      </c>
      <c r="F54" s="10">
        <v>1</v>
      </c>
      <c r="G54" s="44">
        <f>'ANÁLISE DOS PREÇOS COLETADOS'!AD54</f>
        <v>7.5</v>
      </c>
      <c r="H54" s="44">
        <f t="shared" si="3"/>
        <v>7.5</v>
      </c>
    </row>
    <row r="55" spans="2:8" ht="47.25" x14ac:dyDescent="0.25">
      <c r="B55" s="3" t="s">
        <v>100</v>
      </c>
      <c r="C55" s="3" t="s">
        <v>101</v>
      </c>
      <c r="D55" s="3" t="s">
        <v>102</v>
      </c>
      <c r="E55" s="3" t="s">
        <v>70</v>
      </c>
      <c r="F55" s="10">
        <v>2</v>
      </c>
      <c r="G55" s="44">
        <f>'ANÁLISE DOS PREÇOS COLETADOS'!AD55</f>
        <v>10</v>
      </c>
      <c r="H55" s="44">
        <f t="shared" si="3"/>
        <v>20</v>
      </c>
    </row>
    <row r="56" spans="2:8" ht="94.5" x14ac:dyDescent="0.25">
      <c r="B56" s="3" t="s">
        <v>103</v>
      </c>
      <c r="C56" s="3" t="s">
        <v>104</v>
      </c>
      <c r="D56" s="3" t="s">
        <v>105</v>
      </c>
      <c r="E56" s="3" t="s">
        <v>70</v>
      </c>
      <c r="F56" s="10">
        <v>1</v>
      </c>
      <c r="G56" s="44">
        <f>'ANÁLISE DOS PREÇOS COLETADOS'!AD56</f>
        <v>925</v>
      </c>
      <c r="H56" s="44">
        <f t="shared" si="3"/>
        <v>925</v>
      </c>
    </row>
    <row r="57" spans="2:8" ht="141.75" x14ac:dyDescent="0.25">
      <c r="B57" s="3" t="s">
        <v>106</v>
      </c>
      <c r="C57" s="3" t="s">
        <v>107</v>
      </c>
      <c r="D57" s="3" t="s">
        <v>108</v>
      </c>
      <c r="E57" s="3" t="s">
        <v>70</v>
      </c>
      <c r="F57" s="10">
        <v>1</v>
      </c>
      <c r="G57" s="44">
        <f>'ANÁLISE DOS PREÇOS COLETADOS'!AD57</f>
        <v>2100</v>
      </c>
      <c r="H57" s="44">
        <f t="shared" si="3"/>
        <v>2100</v>
      </c>
    </row>
    <row r="58" spans="2:8" ht="189" x14ac:dyDescent="0.25">
      <c r="B58" s="3" t="s">
        <v>109</v>
      </c>
      <c r="C58" s="3" t="s">
        <v>110</v>
      </c>
      <c r="D58" s="3" t="s">
        <v>111</v>
      </c>
      <c r="E58" s="3" t="s">
        <v>112</v>
      </c>
      <c r="F58" s="10">
        <v>1</v>
      </c>
      <c r="G58" s="44">
        <f>'ANÁLISE DOS PREÇOS COLETADOS'!AD58</f>
        <v>73.334049999999991</v>
      </c>
      <c r="H58" s="44">
        <f t="shared" si="3"/>
        <v>73.334049999999991</v>
      </c>
    </row>
    <row r="59" spans="2:8" ht="63" x14ac:dyDescent="0.25">
      <c r="B59" s="3" t="s">
        <v>113</v>
      </c>
      <c r="C59" s="3" t="s">
        <v>114</v>
      </c>
      <c r="D59" s="3" t="s">
        <v>115</v>
      </c>
      <c r="E59" s="3" t="s">
        <v>116</v>
      </c>
      <c r="F59" s="10">
        <v>1</v>
      </c>
      <c r="G59" s="44">
        <f>'ANÁLISE DOS PREÇOS COLETADOS'!AD103</f>
        <v>500</v>
      </c>
      <c r="H59" s="44">
        <f>G59*F59</f>
        <v>500</v>
      </c>
    </row>
    <row r="60" spans="2:8" ht="31.5" x14ac:dyDescent="0.25">
      <c r="B60" s="3" t="s">
        <v>117</v>
      </c>
      <c r="C60" s="3" t="s">
        <v>118</v>
      </c>
      <c r="D60" s="3" t="s">
        <v>119</v>
      </c>
      <c r="E60" s="3" t="s">
        <v>70</v>
      </c>
      <c r="F60" s="10">
        <v>2</v>
      </c>
      <c r="G60" s="44">
        <f>'ANÁLISE DOS PREÇOS COLETADOS'!AD60</f>
        <v>105</v>
      </c>
      <c r="H60" s="44">
        <f t="shared" si="3"/>
        <v>210</v>
      </c>
    </row>
    <row r="61" spans="2:8" ht="31.5" x14ac:dyDescent="0.25">
      <c r="B61" s="3" t="s">
        <v>120</v>
      </c>
      <c r="C61" s="3" t="s">
        <v>121</v>
      </c>
      <c r="D61" s="3" t="s">
        <v>122</v>
      </c>
      <c r="E61" s="3" t="s">
        <v>70</v>
      </c>
      <c r="F61" s="10">
        <v>6</v>
      </c>
      <c r="G61" s="44">
        <f>'ANÁLISE DOS PREÇOS COLETADOS'!AD62</f>
        <v>28</v>
      </c>
      <c r="H61" s="44">
        <f t="shared" si="3"/>
        <v>168</v>
      </c>
    </row>
    <row r="62" spans="2:8" ht="15.75" x14ac:dyDescent="0.25">
      <c r="B62" s="3" t="s">
        <v>123</v>
      </c>
      <c r="C62" s="3" t="s">
        <v>124</v>
      </c>
      <c r="D62" s="3" t="s">
        <v>125</v>
      </c>
      <c r="E62" s="3" t="s">
        <v>70</v>
      </c>
      <c r="F62" s="10">
        <v>10</v>
      </c>
      <c r="G62" s="44">
        <f>'ANÁLISE DOS PREÇOS COLETADOS'!AD64</f>
        <v>21.5</v>
      </c>
      <c r="H62" s="44">
        <f t="shared" si="3"/>
        <v>215</v>
      </c>
    </row>
    <row r="63" spans="2:8" ht="47.25" x14ac:dyDescent="0.25">
      <c r="B63" s="3" t="s">
        <v>126</v>
      </c>
      <c r="C63" s="3" t="s">
        <v>127</v>
      </c>
      <c r="D63" s="3" t="s">
        <v>128</v>
      </c>
      <c r="E63" s="3" t="s">
        <v>112</v>
      </c>
      <c r="F63" s="10">
        <v>40</v>
      </c>
      <c r="G63" s="44">
        <f>'ANÁLISE DOS PREÇOS COLETADOS'!AD66</f>
        <v>30</v>
      </c>
      <c r="H63" s="44">
        <f>G63*F63</f>
        <v>1200</v>
      </c>
    </row>
    <row r="64" spans="2:8" ht="94.5" x14ac:dyDescent="0.25">
      <c r="B64" s="3" t="s">
        <v>129</v>
      </c>
      <c r="C64" s="3" t="s">
        <v>130</v>
      </c>
      <c r="D64" s="3" t="s">
        <v>131</v>
      </c>
      <c r="E64" s="3" t="s">
        <v>70</v>
      </c>
      <c r="F64" s="10">
        <v>3</v>
      </c>
      <c r="G64" s="44">
        <f>'ANÁLISE DOS PREÇOS COLETADOS'!AD67</f>
        <v>2.21</v>
      </c>
      <c r="H64" s="44">
        <f t="shared" si="3"/>
        <v>6.63</v>
      </c>
    </row>
    <row r="65" spans="2:8" ht="31.5" x14ac:dyDescent="0.25">
      <c r="B65" s="3" t="s">
        <v>132</v>
      </c>
      <c r="C65" s="3" t="s">
        <v>133</v>
      </c>
      <c r="D65" s="3" t="s">
        <v>134</v>
      </c>
      <c r="E65" s="3" t="s">
        <v>70</v>
      </c>
      <c r="F65" s="10">
        <v>8</v>
      </c>
      <c r="G65" s="44">
        <f>'ANÁLISE DOS PREÇOS COLETADOS'!AD68</f>
        <v>5</v>
      </c>
      <c r="H65" s="44">
        <f t="shared" si="3"/>
        <v>40</v>
      </c>
    </row>
    <row r="66" spans="2:8" ht="47.25" x14ac:dyDescent="0.25">
      <c r="B66" s="3" t="s">
        <v>135</v>
      </c>
      <c r="C66" s="3" t="s">
        <v>136</v>
      </c>
      <c r="D66" s="3" t="s">
        <v>137</v>
      </c>
      <c r="E66" s="3" t="s">
        <v>70</v>
      </c>
      <c r="F66" s="10">
        <v>1</v>
      </c>
      <c r="G66" s="44">
        <f>'ANÁLISE DOS PREÇOS COLETADOS'!AD69</f>
        <v>55</v>
      </c>
      <c r="H66" s="44">
        <f t="shared" si="3"/>
        <v>55</v>
      </c>
    </row>
    <row r="67" spans="2:8" ht="47.25" x14ac:dyDescent="0.25">
      <c r="B67" s="3" t="s">
        <v>138</v>
      </c>
      <c r="C67" s="3" t="s">
        <v>139</v>
      </c>
      <c r="D67" s="3" t="s">
        <v>140</v>
      </c>
      <c r="E67" s="3" t="s">
        <v>70</v>
      </c>
      <c r="F67" s="10">
        <v>1</v>
      </c>
      <c r="G67" s="44">
        <f>'ANÁLISE DOS PREÇOS COLETADOS'!AD70</f>
        <v>115</v>
      </c>
      <c r="H67" s="44">
        <f t="shared" si="3"/>
        <v>115</v>
      </c>
    </row>
    <row r="68" spans="2:8" ht="47.25" x14ac:dyDescent="0.25">
      <c r="B68" s="3" t="s">
        <v>141</v>
      </c>
      <c r="C68" s="3" t="s">
        <v>139</v>
      </c>
      <c r="D68" s="3" t="s">
        <v>142</v>
      </c>
      <c r="E68" s="3" t="s">
        <v>70</v>
      </c>
      <c r="F68" s="10">
        <v>1</v>
      </c>
      <c r="G68" s="44">
        <f>'ANÁLISE DOS PREÇOS COLETADOS'!AD71</f>
        <v>113.33333333333333</v>
      </c>
      <c r="H68" s="44">
        <f>G68*F68</f>
        <v>113.33333333333333</v>
      </c>
    </row>
    <row r="69" spans="2:8" ht="47.25" x14ac:dyDescent="0.25">
      <c r="B69" s="3" t="s">
        <v>143</v>
      </c>
      <c r="C69" s="3" t="s">
        <v>139</v>
      </c>
      <c r="D69" s="3" t="s">
        <v>144</v>
      </c>
      <c r="E69" s="3" t="s">
        <v>70</v>
      </c>
      <c r="F69" s="10">
        <v>1</v>
      </c>
      <c r="G69" s="44">
        <f>'ANÁLISE DOS PREÇOS COLETADOS'!AD72</f>
        <v>150</v>
      </c>
      <c r="H69" s="44">
        <f t="shared" si="3"/>
        <v>150</v>
      </c>
    </row>
    <row r="70" spans="2:8" ht="31.5" x14ac:dyDescent="0.25">
      <c r="B70" s="3" t="s">
        <v>145</v>
      </c>
      <c r="C70" s="3" t="s">
        <v>146</v>
      </c>
      <c r="D70" s="3" t="s">
        <v>147</v>
      </c>
      <c r="E70" s="3" t="s">
        <v>70</v>
      </c>
      <c r="F70" s="10">
        <v>1</v>
      </c>
      <c r="G70" s="44">
        <f>'ANÁLISE DOS PREÇOS COLETADOS'!AD73</f>
        <v>10</v>
      </c>
      <c r="H70" s="44">
        <f t="shared" si="3"/>
        <v>10</v>
      </c>
    </row>
    <row r="71" spans="2:8" ht="189" x14ac:dyDescent="0.25">
      <c r="B71" s="3" t="s">
        <v>148</v>
      </c>
      <c r="C71" s="3" t="s">
        <v>149</v>
      </c>
      <c r="D71" s="3" t="s">
        <v>150</v>
      </c>
      <c r="E71" s="3" t="s">
        <v>70</v>
      </c>
      <c r="F71" s="10">
        <v>1</v>
      </c>
      <c r="G71" s="44">
        <f>'ANÁLISE DOS PREÇOS COLETADOS'!AD74</f>
        <v>5</v>
      </c>
      <c r="H71" s="44">
        <f t="shared" si="3"/>
        <v>5</v>
      </c>
    </row>
    <row r="72" spans="2:8" ht="157.5" x14ac:dyDescent="0.25">
      <c r="B72" s="3" t="s">
        <v>151</v>
      </c>
      <c r="C72" s="3" t="s">
        <v>152</v>
      </c>
      <c r="D72" s="3" t="s">
        <v>153</v>
      </c>
      <c r="E72" s="3" t="s">
        <v>154</v>
      </c>
      <c r="F72" s="10">
        <v>1</v>
      </c>
      <c r="G72" s="44">
        <f>'ANÁLISE DOS PREÇOS COLETADOS'!AD75</f>
        <v>90</v>
      </c>
      <c r="H72" s="44">
        <f>G72*F72</f>
        <v>90</v>
      </c>
    </row>
    <row r="73" spans="2:8" ht="157.5" x14ac:dyDescent="0.25">
      <c r="B73" s="3" t="s">
        <v>155</v>
      </c>
      <c r="C73" s="3" t="s">
        <v>156</v>
      </c>
      <c r="D73" s="3" t="s">
        <v>157</v>
      </c>
      <c r="E73" s="3" t="s">
        <v>154</v>
      </c>
      <c r="F73" s="10">
        <v>1</v>
      </c>
      <c r="G73" s="44">
        <f>'ANÁLISE DOS PREÇOS COLETADOS'!AD76</f>
        <v>97.5</v>
      </c>
      <c r="H73" s="44">
        <f t="shared" si="3"/>
        <v>97.5</v>
      </c>
    </row>
    <row r="74" spans="2:8" ht="220.5" x14ac:dyDescent="0.25">
      <c r="B74" s="3" t="s">
        <v>158</v>
      </c>
      <c r="C74" s="3" t="s">
        <v>159</v>
      </c>
      <c r="D74" s="1" t="s">
        <v>160</v>
      </c>
      <c r="E74" s="3" t="s">
        <v>154</v>
      </c>
      <c r="F74" s="10">
        <v>1</v>
      </c>
      <c r="G74" s="44">
        <f>'ANÁLISE DOS PREÇOS COLETADOS'!AD77</f>
        <v>60</v>
      </c>
      <c r="H74" s="44">
        <f t="shared" si="3"/>
        <v>60</v>
      </c>
    </row>
    <row r="75" spans="2:8" ht="204.75" x14ac:dyDescent="0.25">
      <c r="B75" s="107" t="s">
        <v>161</v>
      </c>
      <c r="C75" s="110" t="s">
        <v>162</v>
      </c>
      <c r="D75" s="8" t="s">
        <v>163</v>
      </c>
      <c r="E75" s="113" t="s">
        <v>154</v>
      </c>
      <c r="F75" s="110">
        <v>1</v>
      </c>
      <c r="G75" s="85">
        <f>'ANÁLISE DOS PREÇOS COLETADOS'!AD78</f>
        <v>2300</v>
      </c>
      <c r="H75" s="85">
        <f>G75*F75</f>
        <v>2300</v>
      </c>
    </row>
    <row r="76" spans="2:8" ht="15.75" x14ac:dyDescent="0.25">
      <c r="B76" s="108"/>
      <c r="C76" s="111"/>
      <c r="D76" s="8" t="s">
        <v>164</v>
      </c>
      <c r="E76" s="114"/>
      <c r="F76" s="111"/>
      <c r="G76" s="86"/>
      <c r="H76" s="86"/>
    </row>
    <row r="77" spans="2:8" ht="47.25" x14ac:dyDescent="0.25">
      <c r="B77" s="109"/>
      <c r="C77" s="112"/>
      <c r="D77" s="8" t="s">
        <v>165</v>
      </c>
      <c r="E77" s="115"/>
      <c r="F77" s="112"/>
      <c r="G77" s="87"/>
      <c r="H77" s="87"/>
    </row>
    <row r="78" spans="2:8" ht="94.5" x14ac:dyDescent="0.25">
      <c r="B78" s="3" t="s">
        <v>166</v>
      </c>
      <c r="C78" s="3" t="s">
        <v>167</v>
      </c>
      <c r="D78" s="2" t="s">
        <v>168</v>
      </c>
      <c r="E78" s="3" t="s">
        <v>154</v>
      </c>
      <c r="F78" s="10">
        <v>1</v>
      </c>
      <c r="G78" s="44">
        <f>'ANÁLISE DOS PREÇOS COLETADOS'!AD81</f>
        <v>64.52</v>
      </c>
      <c r="H78" s="44">
        <f>G78*F78</f>
        <v>64.52</v>
      </c>
    </row>
    <row r="79" spans="2:8" ht="31.5" x14ac:dyDescent="0.25">
      <c r="B79" s="3" t="s">
        <v>169</v>
      </c>
      <c r="C79" s="3" t="s">
        <v>170</v>
      </c>
      <c r="D79" s="3" t="s">
        <v>171</v>
      </c>
      <c r="E79" s="3" t="s">
        <v>12</v>
      </c>
      <c r="F79" s="10">
        <v>1</v>
      </c>
      <c r="G79" s="44">
        <f>'ANÁLISE DOS PREÇOS COLETADOS'!AD82</f>
        <v>6</v>
      </c>
      <c r="H79" s="44">
        <f t="shared" ref="H79:H99" si="4">G79*F79</f>
        <v>6</v>
      </c>
    </row>
    <row r="80" spans="2:8" ht="31.5" x14ac:dyDescent="0.25">
      <c r="B80" s="3" t="s">
        <v>172</v>
      </c>
      <c r="C80" s="3" t="s">
        <v>173</v>
      </c>
      <c r="D80" s="3" t="s">
        <v>174</v>
      </c>
      <c r="E80" s="3" t="s">
        <v>12</v>
      </c>
      <c r="F80" s="10">
        <v>1</v>
      </c>
      <c r="G80" s="44">
        <f>'ANÁLISE DOS PREÇOS COLETADOS'!AD84</f>
        <v>35</v>
      </c>
      <c r="H80" s="44">
        <f t="shared" si="4"/>
        <v>35</v>
      </c>
    </row>
    <row r="81" spans="2:9" ht="47.25" x14ac:dyDescent="0.25">
      <c r="B81" s="3" t="s">
        <v>175</v>
      </c>
      <c r="C81" s="3" t="s">
        <v>176</v>
      </c>
      <c r="D81" s="3" t="s">
        <v>177</v>
      </c>
      <c r="E81" s="3" t="s">
        <v>12</v>
      </c>
      <c r="F81" s="10">
        <v>1</v>
      </c>
      <c r="G81" s="44">
        <f>'ANÁLISE DOS PREÇOS COLETADOS'!AD85</f>
        <v>52.5</v>
      </c>
      <c r="H81" s="44">
        <f t="shared" si="4"/>
        <v>52.5</v>
      </c>
    </row>
    <row r="82" spans="2:9" ht="236.25" x14ac:dyDescent="0.25">
      <c r="B82" s="3" t="s">
        <v>178</v>
      </c>
      <c r="C82" s="3" t="s">
        <v>179</v>
      </c>
      <c r="D82" s="3" t="s">
        <v>803</v>
      </c>
      <c r="E82" s="3" t="s">
        <v>804</v>
      </c>
      <c r="F82" s="10">
        <v>1</v>
      </c>
      <c r="G82" s="44">
        <f>'ANÁLISE DOS PREÇOS COLETADOS'!AD87</f>
        <v>106.66666666666667</v>
      </c>
      <c r="H82" s="44">
        <f t="shared" si="4"/>
        <v>106.66666666666667</v>
      </c>
    </row>
    <row r="83" spans="2:9" ht="63" x14ac:dyDescent="0.25">
      <c r="B83" s="3" t="s">
        <v>182</v>
      </c>
      <c r="C83" s="3" t="s">
        <v>183</v>
      </c>
      <c r="D83" s="3" t="s">
        <v>184</v>
      </c>
      <c r="E83" s="3" t="s">
        <v>185</v>
      </c>
      <c r="F83" s="10">
        <v>1</v>
      </c>
      <c r="G83" s="44">
        <f>'ANÁLISE DOS PREÇOS COLETADOS'!AD89</f>
        <v>650</v>
      </c>
      <c r="H83" s="44">
        <f t="shared" si="4"/>
        <v>650</v>
      </c>
    </row>
    <row r="84" spans="2:9" ht="141.75" x14ac:dyDescent="0.25">
      <c r="B84" s="3" t="s">
        <v>186</v>
      </c>
      <c r="C84" s="3" t="s">
        <v>187</v>
      </c>
      <c r="D84" s="3" t="s">
        <v>188</v>
      </c>
      <c r="E84" s="3" t="s">
        <v>7</v>
      </c>
      <c r="F84" s="10">
        <v>1</v>
      </c>
      <c r="G84" s="44">
        <f>'ANÁLISE DOS PREÇOS COLETADOS'!AD90</f>
        <v>448.48750000000001</v>
      </c>
      <c r="H84" s="44">
        <f>G84*F84</f>
        <v>448.48750000000001</v>
      </c>
    </row>
    <row r="85" spans="2:9" ht="173.25" x14ac:dyDescent="0.25">
      <c r="B85" s="3" t="s">
        <v>189</v>
      </c>
      <c r="C85" s="3" t="s">
        <v>190</v>
      </c>
      <c r="D85" s="3" t="s">
        <v>191</v>
      </c>
      <c r="E85" s="3" t="s">
        <v>7</v>
      </c>
      <c r="F85" s="10">
        <v>2</v>
      </c>
      <c r="G85" s="44">
        <f>'ANÁLISE DOS PREÇOS COLETADOS'!AD91</f>
        <v>200</v>
      </c>
      <c r="H85" s="44">
        <f t="shared" si="4"/>
        <v>400</v>
      </c>
    </row>
    <row r="86" spans="2:9" ht="173.25" x14ac:dyDescent="0.25">
      <c r="B86" s="3" t="s">
        <v>192</v>
      </c>
      <c r="C86" s="3" t="s">
        <v>193</v>
      </c>
      <c r="D86" s="1" t="s">
        <v>194</v>
      </c>
      <c r="E86" s="3" t="s">
        <v>7</v>
      </c>
      <c r="F86" s="10">
        <v>2</v>
      </c>
      <c r="G86" s="44">
        <f>'ANÁLISE DOS PREÇOS COLETADOS'!AD92</f>
        <v>1255</v>
      </c>
      <c r="H86" s="44">
        <f t="shared" si="4"/>
        <v>2510</v>
      </c>
    </row>
    <row r="87" spans="2:9" ht="283.5" x14ac:dyDescent="0.25">
      <c r="B87" s="4" t="s">
        <v>195</v>
      </c>
      <c r="C87" s="9" t="s">
        <v>734</v>
      </c>
      <c r="D87" s="49" t="s">
        <v>780</v>
      </c>
      <c r="E87" s="14" t="s">
        <v>7</v>
      </c>
      <c r="F87" s="12">
        <v>1</v>
      </c>
      <c r="G87" s="44">
        <f>'ANÁLISE DOS PREÇOS COLETADOS'!AD93</f>
        <v>200</v>
      </c>
      <c r="H87" s="44">
        <f t="shared" si="4"/>
        <v>200</v>
      </c>
    </row>
    <row r="88" spans="2:9" ht="34.5" customHeight="1" x14ac:dyDescent="0.25">
      <c r="B88" s="3" t="s">
        <v>197</v>
      </c>
      <c r="C88" s="6" t="s">
        <v>198</v>
      </c>
      <c r="D88" s="8" t="s">
        <v>199</v>
      </c>
      <c r="E88" s="7" t="s">
        <v>70</v>
      </c>
      <c r="F88" s="10">
        <v>1</v>
      </c>
      <c r="G88" s="44">
        <f>'ANÁLISE DOS PREÇOS COLETADOS'!AD94</f>
        <v>8</v>
      </c>
      <c r="H88" s="44">
        <f t="shared" si="4"/>
        <v>8</v>
      </c>
    </row>
    <row r="89" spans="2:9" ht="35.25" customHeight="1" x14ac:dyDescent="0.25">
      <c r="B89" s="3" t="s">
        <v>200</v>
      </c>
      <c r="C89" s="3" t="s">
        <v>201</v>
      </c>
      <c r="D89" s="5" t="s">
        <v>202</v>
      </c>
      <c r="E89" s="3" t="s">
        <v>70</v>
      </c>
      <c r="F89" s="10">
        <v>1</v>
      </c>
      <c r="G89" s="44">
        <f>'ANÁLISE DOS PREÇOS COLETADOS'!AD95</f>
        <v>15</v>
      </c>
      <c r="H89" s="44">
        <f t="shared" si="4"/>
        <v>15</v>
      </c>
    </row>
    <row r="90" spans="2:9" ht="47.25" x14ac:dyDescent="0.25">
      <c r="B90" s="3" t="s">
        <v>203</v>
      </c>
      <c r="C90" s="3" t="s">
        <v>204</v>
      </c>
      <c r="D90" s="3" t="s">
        <v>205</v>
      </c>
      <c r="E90" s="3" t="s">
        <v>70</v>
      </c>
      <c r="F90" s="10">
        <v>1</v>
      </c>
      <c r="G90" s="44">
        <f>'ANÁLISE DOS PREÇOS COLETADOS'!AD97</f>
        <v>80</v>
      </c>
      <c r="H90" s="44">
        <f t="shared" si="4"/>
        <v>80</v>
      </c>
    </row>
    <row r="91" spans="2:9" ht="47.25" x14ac:dyDescent="0.25">
      <c r="B91" s="3" t="s">
        <v>206</v>
      </c>
      <c r="C91" s="3" t="s">
        <v>204</v>
      </c>
      <c r="D91" s="3" t="s">
        <v>207</v>
      </c>
      <c r="E91" s="3" t="s">
        <v>70</v>
      </c>
      <c r="F91" s="10">
        <v>1</v>
      </c>
      <c r="G91" s="44">
        <f>'ANÁLISE DOS PREÇOS COLETADOS'!AD100</f>
        <v>50</v>
      </c>
      <c r="H91" s="44">
        <f t="shared" si="4"/>
        <v>50</v>
      </c>
    </row>
    <row r="92" spans="2:9" ht="47.25" x14ac:dyDescent="0.25">
      <c r="B92" s="3" t="s">
        <v>208</v>
      </c>
      <c r="C92" s="3" t="s">
        <v>204</v>
      </c>
      <c r="D92" s="3" t="s">
        <v>209</v>
      </c>
      <c r="E92" s="3" t="s">
        <v>70</v>
      </c>
      <c r="F92" s="10">
        <v>1</v>
      </c>
      <c r="G92" s="44">
        <f>'ANÁLISE DOS PREÇOS COLETADOS'!AD99</f>
        <v>80</v>
      </c>
      <c r="H92" s="44">
        <f t="shared" si="4"/>
        <v>80</v>
      </c>
    </row>
    <row r="93" spans="2:9" ht="47.25" x14ac:dyDescent="0.25">
      <c r="B93" s="3" t="s">
        <v>210</v>
      </c>
      <c r="C93" s="3" t="s">
        <v>204</v>
      </c>
      <c r="D93" s="3" t="s">
        <v>211</v>
      </c>
      <c r="E93" s="3" t="s">
        <v>70</v>
      </c>
      <c r="F93" s="10">
        <v>1</v>
      </c>
      <c r="G93" s="44">
        <f>'ANÁLISE DOS PREÇOS COLETADOS'!AD101</f>
        <v>66</v>
      </c>
      <c r="H93" s="44">
        <f t="shared" si="4"/>
        <v>66</v>
      </c>
    </row>
    <row r="94" spans="2:9" ht="47.25" x14ac:dyDescent="0.25">
      <c r="B94" s="3" t="s">
        <v>212</v>
      </c>
      <c r="C94" s="3" t="s">
        <v>204</v>
      </c>
      <c r="D94" s="3" t="s">
        <v>213</v>
      </c>
      <c r="E94" s="3" t="s">
        <v>70</v>
      </c>
      <c r="F94" s="10">
        <v>1</v>
      </c>
      <c r="G94" s="44">
        <f>'ANÁLISE DOS PREÇOS COLETADOS'!AD102</f>
        <v>71.5</v>
      </c>
      <c r="H94" s="44">
        <f t="shared" si="4"/>
        <v>71.5</v>
      </c>
    </row>
    <row r="95" spans="2:9" ht="63" x14ac:dyDescent="0.25">
      <c r="B95" s="3" t="s">
        <v>214</v>
      </c>
      <c r="C95" s="23" t="s">
        <v>114</v>
      </c>
      <c r="D95" s="62" t="s">
        <v>115</v>
      </c>
      <c r="E95" s="62" t="s">
        <v>116</v>
      </c>
      <c r="F95" s="63">
        <v>1</v>
      </c>
      <c r="G95" s="64">
        <f>'ANÁLISE DOS PREÇOS COLETADOS'!AD103</f>
        <v>500</v>
      </c>
      <c r="H95" s="64">
        <f t="shared" si="4"/>
        <v>500</v>
      </c>
      <c r="I95" s="65" t="s">
        <v>781</v>
      </c>
    </row>
    <row r="96" spans="2:9" ht="31.5" x14ac:dyDescent="0.25">
      <c r="B96" s="3" t="s">
        <v>215</v>
      </c>
      <c r="C96" s="3" t="s">
        <v>216</v>
      </c>
      <c r="D96" s="3" t="s">
        <v>217</v>
      </c>
      <c r="E96" s="3" t="s">
        <v>70</v>
      </c>
      <c r="F96" s="10">
        <v>1</v>
      </c>
      <c r="G96" s="44">
        <f>'ANÁLISE DOS PREÇOS COLETADOS'!AD104</f>
        <v>50</v>
      </c>
      <c r="H96" s="44">
        <f t="shared" si="4"/>
        <v>50</v>
      </c>
    </row>
    <row r="97" spans="2:8" ht="31.5" x14ac:dyDescent="0.25">
      <c r="B97" s="3" t="s">
        <v>218</v>
      </c>
      <c r="C97" s="3" t="s">
        <v>219</v>
      </c>
      <c r="D97" s="3" t="s">
        <v>220</v>
      </c>
      <c r="E97" s="3" t="s">
        <v>70</v>
      </c>
      <c r="F97" s="10">
        <v>1</v>
      </c>
      <c r="G97" s="44">
        <f>'ANÁLISE DOS PREÇOS COLETADOS'!AD105</f>
        <v>100</v>
      </c>
      <c r="H97" s="44">
        <f t="shared" si="4"/>
        <v>100</v>
      </c>
    </row>
    <row r="98" spans="2:8" ht="47.25" x14ac:dyDescent="0.25">
      <c r="B98" s="3" t="s">
        <v>221</v>
      </c>
      <c r="C98" s="3" t="s">
        <v>222</v>
      </c>
      <c r="D98" s="3" t="s">
        <v>223</v>
      </c>
      <c r="E98" s="3" t="s">
        <v>224</v>
      </c>
      <c r="F98" s="10">
        <v>1</v>
      </c>
      <c r="G98" s="44">
        <f>'ANÁLISE DOS PREÇOS COLETADOS'!AD106</f>
        <v>200</v>
      </c>
      <c r="H98" s="44">
        <f t="shared" si="4"/>
        <v>200</v>
      </c>
    </row>
    <row r="99" spans="2:8" ht="63" x14ac:dyDescent="0.25">
      <c r="B99" s="3" t="s">
        <v>225</v>
      </c>
      <c r="C99" s="3" t="s">
        <v>226</v>
      </c>
      <c r="D99" s="3" t="s">
        <v>227</v>
      </c>
      <c r="E99" s="3" t="s">
        <v>70</v>
      </c>
      <c r="F99" s="10">
        <v>3</v>
      </c>
      <c r="G99" s="44">
        <f>'ANÁLISE DOS PREÇOS COLETADOS'!AD107</f>
        <v>5</v>
      </c>
      <c r="H99" s="44">
        <f t="shared" si="4"/>
        <v>15</v>
      </c>
    </row>
    <row r="100" spans="2:8" ht="15.75" x14ac:dyDescent="0.25">
      <c r="B100" s="92" t="s">
        <v>401</v>
      </c>
      <c r="C100" s="93"/>
      <c r="D100" s="93"/>
      <c r="E100" s="93"/>
      <c r="F100" s="93"/>
      <c r="G100" s="80">
        <f>SUM(H44:H94,H96:H99)</f>
        <v>16238.53405</v>
      </c>
      <c r="H100" s="81"/>
    </row>
    <row r="101" spans="2:8" ht="15.75" customHeight="1" x14ac:dyDescent="0.25">
      <c r="B101" s="88" t="s">
        <v>228</v>
      </c>
      <c r="C101" s="89"/>
      <c r="D101" s="89"/>
      <c r="E101" s="89"/>
      <c r="F101" s="89"/>
      <c r="G101" s="89"/>
      <c r="H101" s="89"/>
    </row>
    <row r="102" spans="2:8" ht="15.75" customHeight="1" x14ac:dyDescent="0.25">
      <c r="B102" s="102" t="s">
        <v>1</v>
      </c>
      <c r="C102" s="102" t="s">
        <v>2</v>
      </c>
      <c r="D102" s="102" t="s">
        <v>3</v>
      </c>
      <c r="E102" s="102" t="s">
        <v>396</v>
      </c>
      <c r="F102" s="94" t="s">
        <v>4</v>
      </c>
      <c r="G102" s="79" t="s">
        <v>759</v>
      </c>
      <c r="H102" s="79" t="s">
        <v>767</v>
      </c>
    </row>
    <row r="103" spans="2:8" ht="56.25" customHeight="1" x14ac:dyDescent="0.25">
      <c r="B103" s="97"/>
      <c r="C103" s="97"/>
      <c r="D103" s="97"/>
      <c r="E103" s="97"/>
      <c r="F103" s="103"/>
      <c r="G103" s="79"/>
      <c r="H103" s="79"/>
    </row>
    <row r="104" spans="2:8" ht="126" x14ac:dyDescent="0.25">
      <c r="B104" s="3" t="s">
        <v>229</v>
      </c>
      <c r="C104" s="3" t="s">
        <v>230</v>
      </c>
      <c r="D104" s="4" t="s">
        <v>231</v>
      </c>
      <c r="E104" s="3" t="s">
        <v>232</v>
      </c>
      <c r="F104" s="10">
        <v>2</v>
      </c>
      <c r="G104" s="44">
        <f>'ANÁLISE DOS PREÇOS COLETADOS'!AD111</f>
        <v>170.83333333333334</v>
      </c>
      <c r="H104" s="44">
        <f>G104*2</f>
        <v>341.66666666666669</v>
      </c>
    </row>
    <row r="105" spans="2:8" ht="110.25" x14ac:dyDescent="0.25">
      <c r="B105" s="107" t="s">
        <v>233</v>
      </c>
      <c r="C105" s="110" t="s">
        <v>234</v>
      </c>
      <c r="D105" s="8" t="s">
        <v>235</v>
      </c>
      <c r="E105" s="113" t="s">
        <v>244</v>
      </c>
      <c r="F105" s="110">
        <v>1</v>
      </c>
      <c r="G105" s="90">
        <f>'ANÁLISE DOS PREÇOS COLETADOS'!AD112</f>
        <v>133.33333333333334</v>
      </c>
      <c r="H105" s="90">
        <f>G105*F105</f>
        <v>133.33333333333334</v>
      </c>
    </row>
    <row r="106" spans="2:8" ht="47.25" x14ac:dyDescent="0.25">
      <c r="B106" s="108"/>
      <c r="C106" s="111"/>
      <c r="D106" s="8" t="s">
        <v>236</v>
      </c>
      <c r="E106" s="114"/>
      <c r="F106" s="111"/>
      <c r="G106" s="91"/>
      <c r="H106" s="91"/>
    </row>
    <row r="107" spans="2:8" ht="63" x14ac:dyDescent="0.25">
      <c r="B107" s="108"/>
      <c r="C107" s="111"/>
      <c r="D107" s="8" t="s">
        <v>237</v>
      </c>
      <c r="E107" s="114"/>
      <c r="F107" s="111"/>
      <c r="G107" s="91"/>
      <c r="H107" s="91"/>
    </row>
    <row r="108" spans="2:8" ht="63" x14ac:dyDescent="0.25">
      <c r="B108" s="108"/>
      <c r="C108" s="111"/>
      <c r="D108" s="8" t="s">
        <v>238</v>
      </c>
      <c r="E108" s="114"/>
      <c r="F108" s="111"/>
      <c r="G108" s="91"/>
      <c r="H108" s="91"/>
    </row>
    <row r="109" spans="2:8" ht="63" x14ac:dyDescent="0.25">
      <c r="B109" s="108"/>
      <c r="C109" s="111"/>
      <c r="D109" s="8" t="s">
        <v>239</v>
      </c>
      <c r="E109" s="114"/>
      <c r="F109" s="111"/>
      <c r="G109" s="91"/>
      <c r="H109" s="91"/>
    </row>
    <row r="110" spans="2:8" ht="110.25" x14ac:dyDescent="0.25">
      <c r="B110" s="108"/>
      <c r="C110" s="111"/>
      <c r="D110" s="8" t="s">
        <v>240</v>
      </c>
      <c r="E110" s="114"/>
      <c r="F110" s="111"/>
      <c r="G110" s="91"/>
      <c r="H110" s="91"/>
    </row>
    <row r="111" spans="2:8" ht="31.5" x14ac:dyDescent="0.25">
      <c r="B111" s="108"/>
      <c r="C111" s="111"/>
      <c r="D111" s="8" t="s">
        <v>241</v>
      </c>
      <c r="E111" s="114"/>
      <c r="F111" s="111"/>
      <c r="G111" s="91"/>
      <c r="H111" s="91"/>
    </row>
    <row r="112" spans="2:8" ht="94.5" x14ac:dyDescent="0.25">
      <c r="B112" s="108"/>
      <c r="C112" s="111"/>
      <c r="D112" s="8" t="s">
        <v>242</v>
      </c>
      <c r="E112" s="114"/>
      <c r="F112" s="111"/>
      <c r="G112" s="91"/>
      <c r="H112" s="91"/>
    </row>
    <row r="113" spans="2:8" ht="47.25" x14ac:dyDescent="0.25">
      <c r="B113" s="109"/>
      <c r="C113" s="112"/>
      <c r="D113" s="8" t="s">
        <v>243</v>
      </c>
      <c r="E113" s="115"/>
      <c r="F113" s="112"/>
      <c r="G113" s="91"/>
      <c r="H113" s="91"/>
    </row>
    <row r="114" spans="2:8" ht="173.25" x14ac:dyDescent="0.25">
      <c r="B114" s="3" t="s">
        <v>245</v>
      </c>
      <c r="C114" s="3" t="s">
        <v>246</v>
      </c>
      <c r="D114" s="5" t="s">
        <v>247</v>
      </c>
      <c r="E114" s="3" t="s">
        <v>244</v>
      </c>
      <c r="F114" s="10">
        <v>1</v>
      </c>
      <c r="G114" s="44">
        <f>'ANÁLISE DOS PREÇOS COLETADOS'!AD122</f>
        <v>80</v>
      </c>
      <c r="H114" s="44">
        <f>G114*F114</f>
        <v>80</v>
      </c>
    </row>
    <row r="115" spans="2:8" ht="31.5" x14ac:dyDescent="0.25">
      <c r="B115" s="3" t="s">
        <v>248</v>
      </c>
      <c r="C115" s="3" t="s">
        <v>249</v>
      </c>
      <c r="D115" s="3" t="s">
        <v>250</v>
      </c>
      <c r="E115" s="3" t="s">
        <v>244</v>
      </c>
      <c r="F115" s="10">
        <v>2</v>
      </c>
      <c r="G115" s="44">
        <f>'ANÁLISE DOS PREÇOS COLETADOS'!AD124</f>
        <v>115</v>
      </c>
      <c r="H115" s="44">
        <f t="shared" ref="H115:H127" si="5">G115*F115</f>
        <v>230</v>
      </c>
    </row>
    <row r="116" spans="2:8" ht="110.25" x14ac:dyDescent="0.25">
      <c r="B116" s="3" t="s">
        <v>251</v>
      </c>
      <c r="C116" s="3" t="s">
        <v>252</v>
      </c>
      <c r="D116" s="3" t="s">
        <v>253</v>
      </c>
      <c r="E116" s="3" t="s">
        <v>154</v>
      </c>
      <c r="F116" s="10">
        <v>2</v>
      </c>
      <c r="G116" s="44">
        <f>'ANÁLISE DOS PREÇOS COLETADOS'!AD125</f>
        <v>193.75</v>
      </c>
      <c r="H116" s="44">
        <f t="shared" si="5"/>
        <v>387.5</v>
      </c>
    </row>
    <row r="117" spans="2:8" ht="47.25" x14ac:dyDescent="0.25">
      <c r="B117" s="3" t="s">
        <v>254</v>
      </c>
      <c r="C117" s="3" t="s">
        <v>255</v>
      </c>
      <c r="D117" s="3" t="s">
        <v>256</v>
      </c>
      <c r="E117" s="3" t="s">
        <v>244</v>
      </c>
      <c r="F117" s="10">
        <v>1</v>
      </c>
      <c r="G117" s="44">
        <f>'ANÁLISE DOS PREÇOS COLETADOS'!AD126</f>
        <v>650</v>
      </c>
      <c r="H117" s="44">
        <f t="shared" si="5"/>
        <v>650</v>
      </c>
    </row>
    <row r="118" spans="2:8" ht="63" x14ac:dyDescent="0.25">
      <c r="B118" s="3" t="s">
        <v>257</v>
      </c>
      <c r="C118" s="3" t="s">
        <v>258</v>
      </c>
      <c r="D118" s="3" t="s">
        <v>259</v>
      </c>
      <c r="E118" s="3" t="s">
        <v>244</v>
      </c>
      <c r="F118" s="10">
        <v>1</v>
      </c>
      <c r="G118" s="44">
        <f>'ANÁLISE DOS PREÇOS COLETADOS'!AD127</f>
        <v>144.25</v>
      </c>
      <c r="H118" s="44">
        <f t="shared" si="5"/>
        <v>144.25</v>
      </c>
    </row>
    <row r="119" spans="2:8" ht="31.5" x14ac:dyDescent="0.25">
      <c r="B119" s="3" t="s">
        <v>260</v>
      </c>
      <c r="C119" s="3" t="s">
        <v>261</v>
      </c>
      <c r="D119" s="3" t="s">
        <v>262</v>
      </c>
      <c r="E119" s="3" t="s">
        <v>244</v>
      </c>
      <c r="F119" s="10">
        <v>1</v>
      </c>
      <c r="G119" s="44">
        <f>'ANÁLISE DOS PREÇOS COLETADOS'!AD128</f>
        <v>140</v>
      </c>
      <c r="H119" s="44">
        <f t="shared" si="5"/>
        <v>140</v>
      </c>
    </row>
    <row r="120" spans="2:8" ht="63" x14ac:dyDescent="0.25">
      <c r="B120" s="3" t="s">
        <v>263</v>
      </c>
      <c r="C120" s="3" t="s">
        <v>264</v>
      </c>
      <c r="D120" s="3" t="s">
        <v>265</v>
      </c>
      <c r="E120" s="3" t="s">
        <v>244</v>
      </c>
      <c r="F120" s="10">
        <v>1</v>
      </c>
      <c r="G120" s="44">
        <f>'ANÁLISE DOS PREÇOS COLETADOS'!AD129</f>
        <v>200</v>
      </c>
      <c r="H120" s="44">
        <f t="shared" si="5"/>
        <v>200</v>
      </c>
    </row>
    <row r="121" spans="2:8" ht="31.5" x14ac:dyDescent="0.25">
      <c r="B121" s="3" t="s">
        <v>266</v>
      </c>
      <c r="C121" s="3" t="s">
        <v>267</v>
      </c>
      <c r="D121" s="3" t="s">
        <v>268</v>
      </c>
      <c r="E121" s="3" t="s">
        <v>244</v>
      </c>
      <c r="F121" s="10">
        <v>2</v>
      </c>
      <c r="G121" s="44">
        <f>'ANÁLISE DOS PREÇOS COLETADOS'!AD130</f>
        <v>170.66666666666666</v>
      </c>
      <c r="H121" s="44">
        <f t="shared" si="5"/>
        <v>341.33333333333331</v>
      </c>
    </row>
    <row r="122" spans="2:8" ht="63" x14ac:dyDescent="0.25">
      <c r="B122" s="3" t="s">
        <v>269</v>
      </c>
      <c r="C122" s="3" t="s">
        <v>270</v>
      </c>
      <c r="D122" s="3" t="s">
        <v>271</v>
      </c>
      <c r="E122" s="3" t="s">
        <v>244</v>
      </c>
      <c r="F122" s="10">
        <v>1</v>
      </c>
      <c r="G122" s="44">
        <f>'ANÁLISE DOS PREÇOS COLETADOS'!AD131</f>
        <v>137.5</v>
      </c>
      <c r="H122" s="44">
        <f t="shared" si="5"/>
        <v>137.5</v>
      </c>
    </row>
    <row r="123" spans="2:8" ht="94.5" x14ac:dyDescent="0.25">
      <c r="B123" s="3" t="s">
        <v>272</v>
      </c>
      <c r="C123" s="3" t="s">
        <v>273</v>
      </c>
      <c r="D123" s="3" t="s">
        <v>274</v>
      </c>
      <c r="E123" s="3" t="s">
        <v>244</v>
      </c>
      <c r="F123" s="10">
        <v>1</v>
      </c>
      <c r="G123" s="44">
        <f>'ANÁLISE DOS PREÇOS COLETADOS'!AD138</f>
        <v>150</v>
      </c>
      <c r="H123" s="44">
        <f t="shared" si="5"/>
        <v>150</v>
      </c>
    </row>
    <row r="124" spans="2:8" ht="47.25" x14ac:dyDescent="0.25">
      <c r="B124" s="3" t="s">
        <v>275</v>
      </c>
      <c r="C124" s="3" t="s">
        <v>276</v>
      </c>
      <c r="D124" s="3" t="s">
        <v>277</v>
      </c>
      <c r="E124" s="3" t="s">
        <v>244</v>
      </c>
      <c r="F124" s="10">
        <v>1</v>
      </c>
      <c r="G124" s="44">
        <f>'ANÁLISE DOS PREÇOS COLETADOS'!AD140</f>
        <v>105</v>
      </c>
      <c r="H124" s="44">
        <f t="shared" si="5"/>
        <v>105</v>
      </c>
    </row>
    <row r="125" spans="2:8" ht="47.25" x14ac:dyDescent="0.25">
      <c r="B125" s="3" t="s">
        <v>278</v>
      </c>
      <c r="C125" s="3" t="s">
        <v>279</v>
      </c>
      <c r="D125" s="3" t="s">
        <v>280</v>
      </c>
      <c r="E125" s="3" t="s">
        <v>7</v>
      </c>
      <c r="F125" s="10">
        <v>1</v>
      </c>
      <c r="G125" s="44">
        <f>'ANÁLISE DOS PREÇOS COLETADOS'!AD133</f>
        <v>1200</v>
      </c>
      <c r="H125" s="44">
        <f t="shared" si="5"/>
        <v>1200</v>
      </c>
    </row>
    <row r="126" spans="2:8" ht="94.5" x14ac:dyDescent="0.25">
      <c r="B126" s="3" t="s">
        <v>281</v>
      </c>
      <c r="C126" s="3" t="s">
        <v>282</v>
      </c>
      <c r="D126" s="3" t="s">
        <v>283</v>
      </c>
      <c r="E126" s="3" t="s">
        <v>284</v>
      </c>
      <c r="F126" s="10">
        <v>1</v>
      </c>
      <c r="G126" s="44">
        <f>'ANÁLISE DOS PREÇOS COLETADOS'!AD134</f>
        <v>24</v>
      </c>
      <c r="H126" s="44">
        <f t="shared" si="5"/>
        <v>24</v>
      </c>
    </row>
    <row r="127" spans="2:8" ht="63" x14ac:dyDescent="0.25">
      <c r="B127" s="3" t="s">
        <v>285</v>
      </c>
      <c r="C127" s="3" t="s">
        <v>286</v>
      </c>
      <c r="D127" s="3" t="s">
        <v>287</v>
      </c>
      <c r="E127" s="3" t="s">
        <v>154</v>
      </c>
      <c r="F127" s="10">
        <v>2</v>
      </c>
      <c r="G127" s="44">
        <f>'ANÁLISE DOS PREÇOS COLETADOS'!AD142</f>
        <v>156.58333333333331</v>
      </c>
      <c r="H127" s="44">
        <f t="shared" si="5"/>
        <v>313.16666666666663</v>
      </c>
    </row>
    <row r="128" spans="2:8" ht="15.75" x14ac:dyDescent="0.25">
      <c r="B128" s="94" t="s">
        <v>402</v>
      </c>
      <c r="C128" s="95"/>
      <c r="D128" s="95"/>
      <c r="E128" s="95"/>
      <c r="F128" s="95"/>
      <c r="G128" s="82">
        <f>SUM(H104:H127)</f>
        <v>4577.7500000000009</v>
      </c>
      <c r="H128" s="83"/>
    </row>
    <row r="129" spans="2:8" ht="15.75" customHeight="1" x14ac:dyDescent="0.25">
      <c r="B129" s="84" t="s">
        <v>288</v>
      </c>
      <c r="C129" s="84"/>
      <c r="D129" s="84"/>
      <c r="E129" s="84"/>
      <c r="F129" s="84"/>
      <c r="G129" s="84"/>
      <c r="H129" s="84"/>
    </row>
    <row r="130" spans="2:8" ht="15.75" customHeight="1" x14ac:dyDescent="0.25">
      <c r="B130" s="96" t="s">
        <v>1</v>
      </c>
      <c r="C130" s="96" t="s">
        <v>2</v>
      </c>
      <c r="D130" s="96" t="s">
        <v>3</v>
      </c>
      <c r="E130" s="96" t="s">
        <v>396</v>
      </c>
      <c r="F130" s="88" t="s">
        <v>4</v>
      </c>
      <c r="G130" s="79" t="s">
        <v>759</v>
      </c>
      <c r="H130" s="79" t="s">
        <v>767</v>
      </c>
    </row>
    <row r="131" spans="2:8" ht="41.25" customHeight="1" x14ac:dyDescent="0.25">
      <c r="B131" s="97"/>
      <c r="C131" s="97"/>
      <c r="D131" s="97"/>
      <c r="E131" s="97"/>
      <c r="F131" s="103"/>
      <c r="G131" s="79"/>
      <c r="H131" s="79"/>
    </row>
    <row r="132" spans="2:8" ht="31.5" x14ac:dyDescent="0.25">
      <c r="B132" s="3" t="s">
        <v>289</v>
      </c>
      <c r="C132" s="3" t="s">
        <v>290</v>
      </c>
      <c r="D132" s="3" t="s">
        <v>291</v>
      </c>
      <c r="E132" s="3" t="s">
        <v>70</v>
      </c>
      <c r="F132" s="10">
        <v>2</v>
      </c>
      <c r="G132" s="44">
        <f>'ANÁLISE DOS PREÇOS COLETADOS'!AD148</f>
        <v>265</v>
      </c>
      <c r="H132" s="44">
        <f>G132*F132</f>
        <v>530</v>
      </c>
    </row>
    <row r="133" spans="2:8" ht="47.25" x14ac:dyDescent="0.25">
      <c r="B133" s="3" t="s">
        <v>292</v>
      </c>
      <c r="C133" s="3" t="s">
        <v>293</v>
      </c>
      <c r="D133" s="3" t="s">
        <v>294</v>
      </c>
      <c r="E133" s="3" t="s">
        <v>70</v>
      </c>
      <c r="F133" s="10">
        <v>4</v>
      </c>
      <c r="G133" s="44">
        <f>'ANÁLISE DOS PREÇOS COLETADOS'!AD155</f>
        <v>159.07499999999999</v>
      </c>
      <c r="H133" s="44">
        <f t="shared" ref="H133:H158" si="6">G133*F133</f>
        <v>636.29999999999995</v>
      </c>
    </row>
    <row r="134" spans="2:8" ht="47.25" x14ac:dyDescent="0.25">
      <c r="B134" s="3" t="s">
        <v>295</v>
      </c>
      <c r="C134" s="3" t="s">
        <v>296</v>
      </c>
      <c r="D134" s="3" t="s">
        <v>297</v>
      </c>
      <c r="E134" s="3" t="s">
        <v>7</v>
      </c>
      <c r="F134" s="10">
        <v>28</v>
      </c>
      <c r="G134" s="44">
        <f>'ANÁLISE DOS PREÇOS COLETADOS'!AD158</f>
        <v>8</v>
      </c>
      <c r="H134" s="44">
        <f t="shared" si="6"/>
        <v>224</v>
      </c>
    </row>
    <row r="135" spans="2:8" ht="157.5" x14ac:dyDescent="0.25">
      <c r="B135" s="3" t="s">
        <v>298</v>
      </c>
      <c r="C135" s="3" t="s">
        <v>299</v>
      </c>
      <c r="D135" s="3" t="s">
        <v>300</v>
      </c>
      <c r="E135" s="3" t="s">
        <v>301</v>
      </c>
      <c r="F135" s="10">
        <v>3.24</v>
      </c>
      <c r="G135" s="44">
        <f>'ANÁLISE DOS PREÇOS COLETADOS'!AD161</f>
        <v>50</v>
      </c>
      <c r="H135" s="44">
        <f t="shared" si="6"/>
        <v>162</v>
      </c>
    </row>
    <row r="136" spans="2:8" ht="31.5" x14ac:dyDescent="0.25">
      <c r="B136" s="3" t="s">
        <v>302</v>
      </c>
      <c r="C136" s="3" t="s">
        <v>303</v>
      </c>
      <c r="D136" s="3" t="s">
        <v>304</v>
      </c>
      <c r="E136" s="3" t="s">
        <v>70</v>
      </c>
      <c r="F136" s="10">
        <v>4</v>
      </c>
      <c r="G136" s="44">
        <f>'ANÁLISE DOS PREÇOS COLETADOS'!AD162</f>
        <v>12</v>
      </c>
      <c r="H136" s="44">
        <f t="shared" si="6"/>
        <v>48</v>
      </c>
    </row>
    <row r="137" spans="2:8" ht="31.5" x14ac:dyDescent="0.25">
      <c r="B137" s="3" t="s">
        <v>305</v>
      </c>
      <c r="C137" s="3" t="s">
        <v>306</v>
      </c>
      <c r="D137" s="3" t="s">
        <v>307</v>
      </c>
      <c r="E137" s="3" t="s">
        <v>308</v>
      </c>
      <c r="F137" s="10">
        <v>24</v>
      </c>
      <c r="G137" s="44">
        <f>'ANÁLISE DOS PREÇOS COLETADOS'!AD168</f>
        <v>21.42</v>
      </c>
      <c r="H137" s="44">
        <f t="shared" si="6"/>
        <v>514.08000000000004</v>
      </c>
    </row>
    <row r="138" spans="2:8" ht="31.5" x14ac:dyDescent="0.25">
      <c r="B138" s="3" t="s">
        <v>309</v>
      </c>
      <c r="C138" s="3" t="s">
        <v>310</v>
      </c>
      <c r="D138" s="3" t="s">
        <v>311</v>
      </c>
      <c r="E138" s="3" t="s">
        <v>70</v>
      </c>
      <c r="F138" s="10">
        <v>12</v>
      </c>
      <c r="G138" s="44">
        <f>'ANÁLISE DOS PREÇOS COLETADOS'!AD172</f>
        <v>8.6</v>
      </c>
      <c r="H138" s="44">
        <f t="shared" si="6"/>
        <v>103.19999999999999</v>
      </c>
    </row>
    <row r="139" spans="2:8" ht="31.5" x14ac:dyDescent="0.25">
      <c r="B139" s="3" t="s">
        <v>312</v>
      </c>
      <c r="C139" s="3" t="s">
        <v>313</v>
      </c>
      <c r="D139" s="3" t="s">
        <v>314</v>
      </c>
      <c r="E139" s="3" t="s">
        <v>70</v>
      </c>
      <c r="F139" s="10">
        <v>75</v>
      </c>
      <c r="G139" s="44">
        <f>'ANÁLISE DOS PREÇOS COLETADOS'!AD171</f>
        <v>8.6</v>
      </c>
      <c r="H139" s="44">
        <f t="shared" si="6"/>
        <v>645</v>
      </c>
    </row>
    <row r="140" spans="2:8" ht="31.5" x14ac:dyDescent="0.25">
      <c r="B140" s="3" t="s">
        <v>315</v>
      </c>
      <c r="C140" s="3" t="s">
        <v>316</v>
      </c>
      <c r="D140" s="3" t="s">
        <v>317</v>
      </c>
      <c r="E140" s="3" t="s">
        <v>70</v>
      </c>
      <c r="F140" s="10">
        <v>75</v>
      </c>
      <c r="G140" s="44">
        <f>'ANÁLISE DOS PREÇOS COLETADOS'!AD173</f>
        <v>5</v>
      </c>
      <c r="H140" s="44">
        <f t="shared" si="6"/>
        <v>375</v>
      </c>
    </row>
    <row r="141" spans="2:8" ht="236.25" x14ac:dyDescent="0.25">
      <c r="B141" s="3" t="s">
        <v>318</v>
      </c>
      <c r="C141" s="3" t="s">
        <v>319</v>
      </c>
      <c r="D141" s="3" t="s">
        <v>320</v>
      </c>
      <c r="E141" s="3" t="s">
        <v>224</v>
      </c>
      <c r="F141" s="10">
        <v>60</v>
      </c>
      <c r="G141" s="44">
        <f>'ANÁLISE DOS PREÇOS COLETADOS'!AD180</f>
        <v>58.36</v>
      </c>
      <c r="H141" s="44">
        <f t="shared" si="6"/>
        <v>3501.6</v>
      </c>
    </row>
    <row r="142" spans="2:8" ht="78.75" x14ac:dyDescent="0.25">
      <c r="B142" s="3" t="s">
        <v>321</v>
      </c>
      <c r="C142" s="3" t="s">
        <v>322</v>
      </c>
      <c r="D142" s="3" t="s">
        <v>323</v>
      </c>
      <c r="E142" s="3" t="s">
        <v>224</v>
      </c>
      <c r="F142" s="10">
        <v>24</v>
      </c>
      <c r="G142" s="44">
        <f>'ANÁLISE DOS PREÇOS COLETADOS'!AD197</f>
        <v>30</v>
      </c>
      <c r="H142" s="44">
        <f t="shared" si="6"/>
        <v>720</v>
      </c>
    </row>
    <row r="143" spans="2:8" ht="63" x14ac:dyDescent="0.25">
      <c r="B143" s="3" t="s">
        <v>324</v>
      </c>
      <c r="C143" s="3" t="s">
        <v>325</v>
      </c>
      <c r="D143" s="3" t="s">
        <v>326</v>
      </c>
      <c r="E143" s="3" t="s">
        <v>70</v>
      </c>
      <c r="F143" s="10">
        <v>3</v>
      </c>
      <c r="G143" s="44">
        <f>'ANÁLISE DOS PREÇOS COLETADOS'!AD186</f>
        <v>12.5</v>
      </c>
      <c r="H143" s="44">
        <f t="shared" si="6"/>
        <v>37.5</v>
      </c>
    </row>
    <row r="144" spans="2:8" ht="47.25" x14ac:dyDescent="0.25">
      <c r="B144" s="3" t="s">
        <v>327</v>
      </c>
      <c r="C144" s="3" t="s">
        <v>328</v>
      </c>
      <c r="D144" s="3" t="s">
        <v>329</v>
      </c>
      <c r="E144" s="3" t="s">
        <v>70</v>
      </c>
      <c r="F144" s="10">
        <v>2</v>
      </c>
      <c r="G144" s="44">
        <f>'ANÁLISE DOS PREÇOS COLETADOS'!AD187</f>
        <v>95</v>
      </c>
      <c r="H144" s="44">
        <f t="shared" si="6"/>
        <v>190</v>
      </c>
    </row>
    <row r="145" spans="2:8" ht="47.25" x14ac:dyDescent="0.25">
      <c r="B145" s="3" t="s">
        <v>330</v>
      </c>
      <c r="C145" s="3" t="s">
        <v>331</v>
      </c>
      <c r="D145" s="3" t="s">
        <v>332</v>
      </c>
      <c r="E145" s="3" t="s">
        <v>70</v>
      </c>
      <c r="F145" s="10">
        <v>5</v>
      </c>
      <c r="G145" s="44">
        <f>'ANÁLISE DOS PREÇOS COLETADOS'!AD190</f>
        <v>90</v>
      </c>
      <c r="H145" s="44">
        <f t="shared" si="6"/>
        <v>450</v>
      </c>
    </row>
    <row r="146" spans="2:8" ht="31.5" x14ac:dyDescent="0.25">
      <c r="B146" s="3" t="s">
        <v>333</v>
      </c>
      <c r="C146" s="3" t="s">
        <v>334</v>
      </c>
      <c r="D146" s="3" t="s">
        <v>335</v>
      </c>
      <c r="E146" s="3" t="s">
        <v>70</v>
      </c>
      <c r="F146" s="10">
        <v>1</v>
      </c>
      <c r="G146" s="44">
        <f>'ANÁLISE DOS PREÇOS COLETADOS'!AD192</f>
        <v>75.88666666666667</v>
      </c>
      <c r="H146" s="44">
        <f t="shared" si="6"/>
        <v>75.88666666666667</v>
      </c>
    </row>
    <row r="147" spans="2:8" ht="31.5" x14ac:dyDescent="0.25">
      <c r="B147" s="3" t="s">
        <v>336</v>
      </c>
      <c r="C147" s="3" t="s">
        <v>337</v>
      </c>
      <c r="D147" s="3" t="s">
        <v>338</v>
      </c>
      <c r="E147" s="3" t="s">
        <v>70</v>
      </c>
      <c r="F147" s="10">
        <v>40</v>
      </c>
      <c r="G147" s="44">
        <f>'ANÁLISE DOS PREÇOS COLETADOS'!AD193</f>
        <v>20</v>
      </c>
      <c r="H147" s="44">
        <f t="shared" si="6"/>
        <v>800</v>
      </c>
    </row>
    <row r="148" spans="2:8" ht="47.25" x14ac:dyDescent="0.25">
      <c r="B148" s="3" t="s">
        <v>339</v>
      </c>
      <c r="C148" s="3" t="s">
        <v>340</v>
      </c>
      <c r="D148" s="3" t="s">
        <v>341</v>
      </c>
      <c r="E148" s="3" t="s">
        <v>70</v>
      </c>
      <c r="F148" s="10">
        <v>1</v>
      </c>
      <c r="G148" s="44">
        <f>'ANÁLISE DOS PREÇOS COLETADOS'!AD194</f>
        <v>51</v>
      </c>
      <c r="H148" s="44">
        <f t="shared" si="6"/>
        <v>51</v>
      </c>
    </row>
    <row r="149" spans="2:8" ht="47.25" x14ac:dyDescent="0.25">
      <c r="B149" s="3" t="s">
        <v>342</v>
      </c>
      <c r="C149" s="3" t="s">
        <v>343</v>
      </c>
      <c r="D149" s="3" t="s">
        <v>344</v>
      </c>
      <c r="E149" s="3" t="s">
        <v>70</v>
      </c>
      <c r="F149" s="10">
        <v>4</v>
      </c>
      <c r="G149" s="44">
        <f>'ANÁLISE DOS PREÇOS COLETADOS'!AD195</f>
        <v>18</v>
      </c>
      <c r="H149" s="44">
        <f t="shared" si="6"/>
        <v>72</v>
      </c>
    </row>
    <row r="150" spans="2:8" ht="47.25" x14ac:dyDescent="0.25">
      <c r="B150" s="3" t="s">
        <v>345</v>
      </c>
      <c r="C150" s="3" t="s">
        <v>346</v>
      </c>
      <c r="D150" s="3" t="s">
        <v>347</v>
      </c>
      <c r="E150" s="3" t="s">
        <v>70</v>
      </c>
      <c r="F150" s="10">
        <v>6</v>
      </c>
      <c r="G150" s="44">
        <f>'ANÁLISE DOS PREÇOS COLETADOS'!AD189</f>
        <v>20</v>
      </c>
      <c r="H150" s="44">
        <f t="shared" si="6"/>
        <v>120</v>
      </c>
    </row>
    <row r="151" spans="2:8" ht="31.5" x14ac:dyDescent="0.25">
      <c r="B151" s="3" t="s">
        <v>348</v>
      </c>
      <c r="C151" s="3" t="s">
        <v>349</v>
      </c>
      <c r="D151" s="3" t="s">
        <v>350</v>
      </c>
      <c r="E151" s="3" t="s">
        <v>301</v>
      </c>
      <c r="F151" s="10">
        <v>2</v>
      </c>
      <c r="G151" s="44">
        <f>'ANÁLISE DOS PREÇOS COLETADOS'!AD198</f>
        <v>20</v>
      </c>
      <c r="H151" s="44">
        <f t="shared" si="6"/>
        <v>40</v>
      </c>
    </row>
    <row r="152" spans="2:8" ht="31.5" x14ac:dyDescent="0.25">
      <c r="B152" s="3" t="s">
        <v>351</v>
      </c>
      <c r="C152" s="3" t="s">
        <v>352</v>
      </c>
      <c r="D152" s="3" t="s">
        <v>353</v>
      </c>
      <c r="E152" s="3" t="s">
        <v>12</v>
      </c>
      <c r="F152" s="10">
        <v>1</v>
      </c>
      <c r="G152" s="44">
        <f>'ANÁLISE DOS PREÇOS COLETADOS'!AD199</f>
        <v>44</v>
      </c>
      <c r="H152" s="44">
        <f t="shared" si="6"/>
        <v>44</v>
      </c>
    </row>
    <row r="153" spans="2:8" ht="31.5" x14ac:dyDescent="0.25">
      <c r="B153" s="3" t="s">
        <v>354</v>
      </c>
      <c r="C153" s="3" t="s">
        <v>355</v>
      </c>
      <c r="D153" s="3" t="s">
        <v>356</v>
      </c>
      <c r="E153" s="3" t="s">
        <v>181</v>
      </c>
      <c r="F153" s="10">
        <v>2</v>
      </c>
      <c r="G153" s="44">
        <f>'ANÁLISE DOS PREÇOS COLETADOS'!AD241</f>
        <v>8</v>
      </c>
      <c r="H153" s="44">
        <f t="shared" si="6"/>
        <v>16</v>
      </c>
    </row>
    <row r="154" spans="2:8" ht="47.25" x14ac:dyDescent="0.25">
      <c r="B154" s="3" t="s">
        <v>358</v>
      </c>
      <c r="C154" s="3" t="s">
        <v>359</v>
      </c>
      <c r="D154" s="3" t="s">
        <v>360</v>
      </c>
      <c r="E154" s="3" t="s">
        <v>361</v>
      </c>
      <c r="F154" s="10">
        <v>30</v>
      </c>
      <c r="G154" s="44">
        <f>'ANÁLISE DOS PREÇOS COLETADOS'!AD206</f>
        <v>25.5</v>
      </c>
      <c r="H154" s="44">
        <f t="shared" si="6"/>
        <v>765</v>
      </c>
    </row>
    <row r="155" spans="2:8" ht="47.25" x14ac:dyDescent="0.25">
      <c r="B155" s="3" t="s">
        <v>362</v>
      </c>
      <c r="C155" s="3" t="s">
        <v>363</v>
      </c>
      <c r="D155" s="3" t="s">
        <v>364</v>
      </c>
      <c r="E155" s="3" t="s">
        <v>70</v>
      </c>
      <c r="F155" s="10">
        <v>2</v>
      </c>
      <c r="G155" s="44">
        <f>'ANÁLISE DOS PREÇOS COLETADOS'!AD208</f>
        <v>40.032499999999999</v>
      </c>
      <c r="H155" s="44">
        <f t="shared" si="6"/>
        <v>80.064999999999998</v>
      </c>
    </row>
    <row r="156" spans="2:8" ht="31.5" x14ac:dyDescent="0.25">
      <c r="B156" s="3" t="s">
        <v>365</v>
      </c>
      <c r="C156" s="3" t="s">
        <v>366</v>
      </c>
      <c r="D156" s="3" t="s">
        <v>367</v>
      </c>
      <c r="E156" s="3" t="s">
        <v>70</v>
      </c>
      <c r="F156" s="10">
        <v>1</v>
      </c>
      <c r="G156" s="44">
        <f>'ANÁLISE DOS PREÇOS COLETADOS'!AD209</f>
        <v>40.465000000000003</v>
      </c>
      <c r="H156" s="44">
        <f t="shared" si="6"/>
        <v>40.465000000000003</v>
      </c>
    </row>
    <row r="157" spans="2:8" ht="63" x14ac:dyDescent="0.25">
      <c r="B157" s="3" t="s">
        <v>368</v>
      </c>
      <c r="C157" s="3" t="s">
        <v>369</v>
      </c>
      <c r="D157" s="3" t="s">
        <v>370</v>
      </c>
      <c r="E157" s="3" t="s">
        <v>371</v>
      </c>
      <c r="F157" s="10">
        <v>2</v>
      </c>
      <c r="G157" s="44">
        <f>'ANÁLISE DOS PREÇOS COLETADOS'!AD213</f>
        <v>120</v>
      </c>
      <c r="H157" s="44">
        <f t="shared" si="6"/>
        <v>240</v>
      </c>
    </row>
    <row r="158" spans="2:8" ht="31.5" x14ac:dyDescent="0.25">
      <c r="B158" s="3" t="s">
        <v>372</v>
      </c>
      <c r="C158" s="3" t="s">
        <v>373</v>
      </c>
      <c r="D158" s="3" t="s">
        <v>374</v>
      </c>
      <c r="E158" s="3" t="s">
        <v>371</v>
      </c>
      <c r="F158" s="10">
        <v>60</v>
      </c>
      <c r="G158" s="44">
        <f>'ANÁLISE DOS PREÇOS COLETADOS'!AD224</f>
        <v>30</v>
      </c>
      <c r="H158" s="44">
        <f t="shared" si="6"/>
        <v>1800</v>
      </c>
    </row>
    <row r="159" spans="2:8" ht="15.75" x14ac:dyDescent="0.25">
      <c r="B159" s="92" t="s">
        <v>403</v>
      </c>
      <c r="C159" s="93"/>
      <c r="D159" s="93"/>
      <c r="E159" s="93"/>
      <c r="F159" s="93"/>
      <c r="G159" s="80">
        <f>SUM(H132:H158)</f>
        <v>12281.096666666668</v>
      </c>
      <c r="H159" s="81"/>
    </row>
    <row r="160" spans="2:8" ht="15.75" customHeight="1" x14ac:dyDescent="0.25">
      <c r="B160" s="88" t="s">
        <v>375</v>
      </c>
      <c r="C160" s="89"/>
      <c r="D160" s="89"/>
      <c r="E160" s="89"/>
      <c r="F160" s="89"/>
      <c r="G160" s="89"/>
      <c r="H160" s="89"/>
    </row>
    <row r="161" spans="2:8" ht="15.75" customHeight="1" x14ac:dyDescent="0.25">
      <c r="B161" s="102" t="s">
        <v>1</v>
      </c>
      <c r="C161" s="102" t="s">
        <v>2</v>
      </c>
      <c r="D161" s="102" t="s">
        <v>3</v>
      </c>
      <c r="E161" s="102" t="s">
        <v>396</v>
      </c>
      <c r="F161" s="94" t="s">
        <v>4</v>
      </c>
      <c r="G161" s="79" t="s">
        <v>759</v>
      </c>
      <c r="H161" s="79" t="s">
        <v>767</v>
      </c>
    </row>
    <row r="162" spans="2:8" ht="50.25" customHeight="1" x14ac:dyDescent="0.25">
      <c r="B162" s="97"/>
      <c r="C162" s="97"/>
      <c r="D162" s="97"/>
      <c r="E162" s="97"/>
      <c r="F162" s="103"/>
      <c r="G162" s="79"/>
      <c r="H162" s="79"/>
    </row>
    <row r="163" spans="2:8" ht="31.5" x14ac:dyDescent="0.25">
      <c r="B163" s="3" t="s">
        <v>376</v>
      </c>
      <c r="C163" s="3" t="s">
        <v>377</v>
      </c>
      <c r="D163" s="3" t="s">
        <v>378</v>
      </c>
      <c r="E163" s="3" t="s">
        <v>12</v>
      </c>
      <c r="F163" s="10">
        <v>30</v>
      </c>
      <c r="G163" s="44">
        <f>'ANÁLISE DOS PREÇOS COLETADOS'!AD167</f>
        <v>21.740000000000002</v>
      </c>
      <c r="H163" s="44">
        <f>G163*F163</f>
        <v>652.20000000000005</v>
      </c>
    </row>
    <row r="164" spans="2:8" ht="31.5" x14ac:dyDescent="0.25">
      <c r="B164" s="4" t="s">
        <v>379</v>
      </c>
      <c r="C164" s="4" t="s">
        <v>380</v>
      </c>
      <c r="D164" s="4" t="s">
        <v>404</v>
      </c>
      <c r="E164" s="4" t="s">
        <v>371</v>
      </c>
      <c r="F164" s="12">
        <v>2</v>
      </c>
      <c r="G164" s="44">
        <f>'ANÁLISE DOS PREÇOS COLETADOS'!AD238</f>
        <v>130</v>
      </c>
      <c r="H164" s="44">
        <f t="shared" ref="H164:H165" si="7">G164*F164</f>
        <v>260</v>
      </c>
    </row>
    <row r="165" spans="2:8" ht="63" x14ac:dyDescent="0.25">
      <c r="B165" s="3" t="s">
        <v>381</v>
      </c>
      <c r="C165" s="3" t="s">
        <v>382</v>
      </c>
      <c r="D165" s="3" t="s">
        <v>383</v>
      </c>
      <c r="E165" s="3" t="s">
        <v>802</v>
      </c>
      <c r="F165" s="10">
        <v>2</v>
      </c>
      <c r="G165" s="44">
        <f>'ANÁLISE DOS PREÇOS COLETADOS'!AD242</f>
        <v>150.05000000000001</v>
      </c>
      <c r="H165" s="44">
        <f t="shared" si="7"/>
        <v>300.10000000000002</v>
      </c>
    </row>
    <row r="166" spans="2:8" ht="15.75" x14ac:dyDescent="0.25">
      <c r="B166" s="92" t="s">
        <v>405</v>
      </c>
      <c r="C166" s="93"/>
      <c r="D166" s="93"/>
      <c r="E166" s="93"/>
      <c r="F166" s="93"/>
      <c r="G166" s="80">
        <f>SUM(H163:H165)</f>
        <v>1212.3000000000002</v>
      </c>
      <c r="H166" s="81"/>
    </row>
    <row r="167" spans="2:8" ht="15.75" customHeight="1" x14ac:dyDescent="0.25">
      <c r="B167" s="92" t="s">
        <v>384</v>
      </c>
      <c r="C167" s="93"/>
      <c r="D167" s="93"/>
      <c r="E167" s="93"/>
      <c r="F167" s="93"/>
    </row>
    <row r="168" spans="2:8" ht="15.75" customHeight="1" x14ac:dyDescent="0.25">
      <c r="B168" s="102" t="s">
        <v>1</v>
      </c>
      <c r="C168" s="102" t="s">
        <v>2</v>
      </c>
      <c r="D168" s="102" t="s">
        <v>3</v>
      </c>
      <c r="E168" s="102" t="s">
        <v>396</v>
      </c>
      <c r="F168" s="94" t="s">
        <v>4</v>
      </c>
      <c r="G168" s="79" t="s">
        <v>759</v>
      </c>
      <c r="H168" s="79" t="s">
        <v>767</v>
      </c>
    </row>
    <row r="169" spans="2:8" ht="50.25" customHeight="1" x14ac:dyDescent="0.25">
      <c r="B169" s="97"/>
      <c r="C169" s="97"/>
      <c r="D169" s="97"/>
      <c r="E169" s="97"/>
      <c r="F169" s="103"/>
      <c r="G169" s="79"/>
      <c r="H169" s="79"/>
    </row>
    <row r="170" spans="2:8" ht="47.25" x14ac:dyDescent="0.25">
      <c r="B170" s="3" t="s">
        <v>385</v>
      </c>
      <c r="C170" s="3" t="s">
        <v>386</v>
      </c>
      <c r="D170" s="3" t="s">
        <v>387</v>
      </c>
      <c r="E170" s="3" t="s">
        <v>12</v>
      </c>
      <c r="F170" s="10">
        <v>2</v>
      </c>
      <c r="G170" s="44">
        <f>'ANÁLISE DOS PREÇOS COLETADOS'!AD247</f>
        <v>15.365</v>
      </c>
      <c r="H170" s="44">
        <f>G170*F170</f>
        <v>30.73</v>
      </c>
    </row>
    <row r="171" spans="2:8" ht="31.5" x14ac:dyDescent="0.25">
      <c r="B171" s="3" t="s">
        <v>388</v>
      </c>
      <c r="C171" s="3" t="s">
        <v>389</v>
      </c>
      <c r="D171" s="3" t="s">
        <v>390</v>
      </c>
      <c r="E171" s="3" t="s">
        <v>70</v>
      </c>
      <c r="F171" s="10">
        <v>1</v>
      </c>
      <c r="G171" s="44">
        <f>'ANÁLISE DOS PREÇOS COLETADOS'!AD248</f>
        <v>5</v>
      </c>
      <c r="H171" s="44">
        <f>G171*F171</f>
        <v>5</v>
      </c>
    </row>
    <row r="172" spans="2:8" ht="15.75" x14ac:dyDescent="0.25">
      <c r="B172" s="92" t="s">
        <v>406</v>
      </c>
      <c r="C172" s="93"/>
      <c r="D172" s="93"/>
      <c r="E172" s="93"/>
      <c r="F172" s="93"/>
      <c r="G172" s="80">
        <f>SUM(H170:H171)</f>
        <v>35.730000000000004</v>
      </c>
      <c r="H172" s="81"/>
    </row>
    <row r="173" spans="2:8" ht="15.75" customHeight="1" x14ac:dyDescent="0.25">
      <c r="B173" s="92" t="s">
        <v>391</v>
      </c>
      <c r="C173" s="93"/>
      <c r="D173" s="93"/>
      <c r="E173" s="93"/>
      <c r="F173" s="93"/>
    </row>
    <row r="174" spans="2:8" ht="15.75" customHeight="1" x14ac:dyDescent="0.25">
      <c r="B174" s="102" t="s">
        <v>1</v>
      </c>
      <c r="C174" s="102" t="s">
        <v>2</v>
      </c>
      <c r="D174" s="102" t="s">
        <v>3</v>
      </c>
      <c r="E174" s="102" t="s">
        <v>396</v>
      </c>
      <c r="F174" s="94" t="s">
        <v>4</v>
      </c>
      <c r="G174" s="79" t="s">
        <v>759</v>
      </c>
      <c r="H174" s="79" t="s">
        <v>767</v>
      </c>
    </row>
    <row r="175" spans="2:8" ht="48" customHeight="1" x14ac:dyDescent="0.25">
      <c r="B175" s="97"/>
      <c r="C175" s="97"/>
      <c r="D175" s="97"/>
      <c r="E175" s="97"/>
      <c r="F175" s="103"/>
      <c r="G175" s="79"/>
      <c r="H175" s="79"/>
    </row>
    <row r="176" spans="2:8" ht="189" x14ac:dyDescent="0.25">
      <c r="B176" s="3" t="s">
        <v>392</v>
      </c>
      <c r="C176" s="3" t="s">
        <v>393</v>
      </c>
      <c r="D176" s="3" t="s">
        <v>394</v>
      </c>
      <c r="E176" s="3" t="s">
        <v>395</v>
      </c>
      <c r="F176" s="10">
        <v>1</v>
      </c>
      <c r="G176" s="44">
        <f>'ANÁLISE DOS PREÇOS COLETADOS'!AD255</f>
        <v>800</v>
      </c>
      <c r="H176" s="44">
        <f>G176*F176</f>
        <v>800</v>
      </c>
    </row>
    <row r="177" spans="2:8" ht="15.75" x14ac:dyDescent="0.25">
      <c r="B177" s="92" t="s">
        <v>407</v>
      </c>
      <c r="C177" s="93"/>
      <c r="D177" s="93"/>
      <c r="E177" s="93"/>
      <c r="F177" s="93"/>
      <c r="G177" s="80">
        <f>H176</f>
        <v>800</v>
      </c>
      <c r="H177" s="81"/>
    </row>
    <row r="178" spans="2:8" ht="15.75" x14ac:dyDescent="0.25">
      <c r="B178" s="88"/>
      <c r="C178" s="89"/>
      <c r="D178" s="89"/>
      <c r="E178" s="89"/>
      <c r="F178" s="89"/>
      <c r="G178" s="89"/>
      <c r="H178" s="104"/>
    </row>
    <row r="179" spans="2:8" ht="15.75" x14ac:dyDescent="0.25">
      <c r="B179" s="92" t="s">
        <v>768</v>
      </c>
      <c r="C179" s="93"/>
      <c r="D179" s="93"/>
      <c r="E179" s="93"/>
      <c r="F179" s="93"/>
      <c r="G179" s="80">
        <f>SUM(G5,G24,G32,G40,G100,G128,G159,G166,G172,G177)</f>
        <v>52078.016033333341</v>
      </c>
      <c r="H179" s="81"/>
    </row>
    <row r="180" spans="2:8" ht="15.75" x14ac:dyDescent="0.25">
      <c r="B180" s="92" t="s">
        <v>735</v>
      </c>
      <c r="C180" s="93"/>
      <c r="D180" s="93"/>
      <c r="E180" s="93"/>
      <c r="F180" s="93"/>
      <c r="G180" s="105">
        <v>114</v>
      </c>
      <c r="H180" s="106"/>
    </row>
    <row r="181" spans="2:8" ht="15.75" x14ac:dyDescent="0.25">
      <c r="B181" s="92" t="s">
        <v>775</v>
      </c>
      <c r="C181" s="93"/>
      <c r="D181" s="93"/>
      <c r="E181" s="93"/>
      <c r="F181" s="93"/>
      <c r="G181" s="80">
        <f>G179*G180</f>
        <v>5936893.827800001</v>
      </c>
      <c r="H181" s="81"/>
    </row>
  </sheetData>
  <mergeCells count="118">
    <mergeCell ref="B7:B8"/>
    <mergeCell ref="C7:C8"/>
    <mergeCell ref="D7:D8"/>
    <mergeCell ref="F7:F8"/>
    <mergeCell ref="G7:G8"/>
    <mergeCell ref="E7:E8"/>
    <mergeCell ref="B5:F5"/>
    <mergeCell ref="H7:H8"/>
    <mergeCell ref="B2:H2"/>
    <mergeCell ref="B34:B35"/>
    <mergeCell ref="C34:C35"/>
    <mergeCell ref="D34:D35"/>
    <mergeCell ref="F34:F35"/>
    <mergeCell ref="E34:E35"/>
    <mergeCell ref="G14:G22"/>
    <mergeCell ref="B26:B27"/>
    <mergeCell ref="C26:C27"/>
    <mergeCell ref="D26:D27"/>
    <mergeCell ref="F26:F27"/>
    <mergeCell ref="G26:G27"/>
    <mergeCell ref="B14:B22"/>
    <mergeCell ref="C14:C22"/>
    <mergeCell ref="E14:E22"/>
    <mergeCell ref="F14:F22"/>
    <mergeCell ref="B75:B77"/>
    <mergeCell ref="C75:C77"/>
    <mergeCell ref="E75:E77"/>
    <mergeCell ref="F75:F77"/>
    <mergeCell ref="G75:G77"/>
    <mergeCell ref="B42:B43"/>
    <mergeCell ref="C42:C43"/>
    <mergeCell ref="D42:D43"/>
    <mergeCell ref="F42:F43"/>
    <mergeCell ref="C130:C131"/>
    <mergeCell ref="D130:D131"/>
    <mergeCell ref="F130:F131"/>
    <mergeCell ref="B128:F128"/>
    <mergeCell ref="B105:B113"/>
    <mergeCell ref="C105:C113"/>
    <mergeCell ref="E105:E113"/>
    <mergeCell ref="F105:F113"/>
    <mergeCell ref="E102:E103"/>
    <mergeCell ref="B102:B103"/>
    <mergeCell ref="C102:C103"/>
    <mergeCell ref="D102:D103"/>
    <mergeCell ref="F102:F103"/>
    <mergeCell ref="B180:F180"/>
    <mergeCell ref="B179:F179"/>
    <mergeCell ref="B181:F181"/>
    <mergeCell ref="B166:F166"/>
    <mergeCell ref="E168:E169"/>
    <mergeCell ref="B172:F172"/>
    <mergeCell ref="G34:G35"/>
    <mergeCell ref="G42:G43"/>
    <mergeCell ref="G102:G103"/>
    <mergeCell ref="G105:G113"/>
    <mergeCell ref="G130:G131"/>
    <mergeCell ref="G161:G162"/>
    <mergeCell ref="G168:G169"/>
    <mergeCell ref="G174:G175"/>
    <mergeCell ref="G177:H177"/>
    <mergeCell ref="B178:H178"/>
    <mergeCell ref="G179:H179"/>
    <mergeCell ref="G180:H180"/>
    <mergeCell ref="G181:H181"/>
    <mergeCell ref="B173:F173"/>
    <mergeCell ref="B174:B175"/>
    <mergeCell ref="C174:C175"/>
    <mergeCell ref="D174:D175"/>
    <mergeCell ref="F174:F175"/>
    <mergeCell ref="H14:H22"/>
    <mergeCell ref="H26:H27"/>
    <mergeCell ref="B25:H25"/>
    <mergeCell ref="B6:H6"/>
    <mergeCell ref="G5:H5"/>
    <mergeCell ref="G24:H24"/>
    <mergeCell ref="H34:H35"/>
    <mergeCell ref="H42:H43"/>
    <mergeCell ref="B177:F177"/>
    <mergeCell ref="E174:E175"/>
    <mergeCell ref="E130:E131"/>
    <mergeCell ref="B159:F159"/>
    <mergeCell ref="E161:E162"/>
    <mergeCell ref="B161:B162"/>
    <mergeCell ref="C161:C162"/>
    <mergeCell ref="D161:D162"/>
    <mergeCell ref="F161:F162"/>
    <mergeCell ref="B167:F167"/>
    <mergeCell ref="B168:B169"/>
    <mergeCell ref="C168:C169"/>
    <mergeCell ref="D168:D169"/>
    <mergeCell ref="F168:F169"/>
    <mergeCell ref="B24:F24"/>
    <mergeCell ref="E26:E27"/>
    <mergeCell ref="H102:H103"/>
    <mergeCell ref="H130:H131"/>
    <mergeCell ref="H161:H162"/>
    <mergeCell ref="H168:H169"/>
    <mergeCell ref="H174:H175"/>
    <mergeCell ref="G32:H32"/>
    <mergeCell ref="G40:H40"/>
    <mergeCell ref="B41:H41"/>
    <mergeCell ref="H75:H77"/>
    <mergeCell ref="G100:H100"/>
    <mergeCell ref="B101:H101"/>
    <mergeCell ref="H105:H113"/>
    <mergeCell ref="G128:H128"/>
    <mergeCell ref="B129:H129"/>
    <mergeCell ref="G159:H159"/>
    <mergeCell ref="B160:H160"/>
    <mergeCell ref="G166:H166"/>
    <mergeCell ref="G172:H172"/>
    <mergeCell ref="B33:H33"/>
    <mergeCell ref="B32:F32"/>
    <mergeCell ref="B40:F40"/>
    <mergeCell ref="E42:E43"/>
    <mergeCell ref="B100:F100"/>
    <mergeCell ref="B130:B131"/>
  </mergeCells>
  <pageMargins left="0.511811024" right="0.511811024" top="0.78740157499999996" bottom="0.78740157499999996" header="0.31496062000000002" footer="0.31496062000000002"/>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14B1-DF17-4EF5-8C48-E47B2F0E7B47}">
  <dimension ref="B2:N208"/>
  <sheetViews>
    <sheetView topLeftCell="A66" zoomScale="84" zoomScaleNormal="84" workbookViewId="0">
      <selection activeCell="K68" sqref="K68"/>
    </sheetView>
  </sheetViews>
  <sheetFormatPr defaultRowHeight="15" x14ac:dyDescent="0.25"/>
  <cols>
    <col min="2" max="2" width="10.42578125" bestFit="1" customWidth="1"/>
    <col min="3" max="3" width="19.5703125" customWidth="1"/>
    <col min="4" max="4" width="45.5703125" bestFit="1" customWidth="1"/>
    <col min="5" max="5" width="25.85546875" customWidth="1"/>
    <col min="7" max="7" width="22.7109375" customWidth="1"/>
    <col min="8" max="8" width="21.7109375" customWidth="1"/>
  </cols>
  <sheetData>
    <row r="2" spans="2:9" ht="15.75" customHeight="1" x14ac:dyDescent="0.25">
      <c r="B2" s="84" t="s">
        <v>8</v>
      </c>
      <c r="C2" s="84"/>
      <c r="D2" s="84"/>
      <c r="E2" s="84"/>
      <c r="F2" s="84"/>
      <c r="G2" s="84"/>
      <c r="H2" s="84"/>
    </row>
    <row r="3" spans="2:9" ht="49.5" customHeight="1" x14ac:dyDescent="0.25">
      <c r="B3" s="56" t="s">
        <v>1</v>
      </c>
      <c r="C3" s="56" t="s">
        <v>2</v>
      </c>
      <c r="D3" s="56" t="s">
        <v>3</v>
      </c>
      <c r="E3" s="56" t="s">
        <v>396</v>
      </c>
      <c r="F3" s="56" t="s">
        <v>4</v>
      </c>
      <c r="G3" s="47" t="s">
        <v>759</v>
      </c>
      <c r="H3" s="47" t="s">
        <v>767</v>
      </c>
    </row>
    <row r="4" spans="2:9" ht="78.75" customHeight="1" x14ac:dyDescent="0.25">
      <c r="B4" s="8" t="s">
        <v>9</v>
      </c>
      <c r="C4" s="8" t="s">
        <v>10</v>
      </c>
      <c r="D4" s="8" t="s">
        <v>11</v>
      </c>
      <c r="E4" s="8" t="s">
        <v>12</v>
      </c>
      <c r="F4" s="8">
        <v>20</v>
      </c>
      <c r="G4" s="44">
        <f>'ANÁLISE DOS PREÇOS COLETADOS'!AD5</f>
        <v>3.21</v>
      </c>
      <c r="H4" s="44">
        <f>G4*F4</f>
        <v>64.2</v>
      </c>
    </row>
    <row r="5" spans="2:9" ht="47.25" x14ac:dyDescent="0.25">
      <c r="B5" s="8" t="s">
        <v>13</v>
      </c>
      <c r="C5" s="8" t="s">
        <v>408</v>
      </c>
      <c r="D5" s="8" t="s">
        <v>409</v>
      </c>
      <c r="E5" s="8" t="s">
        <v>12</v>
      </c>
      <c r="F5" s="8">
        <v>20</v>
      </c>
      <c r="G5" s="44">
        <f>'ANÁLISE DOS PREÇOS COLETADOS'!AD6</f>
        <v>2.1333333333333333</v>
      </c>
      <c r="H5" s="44">
        <f t="shared" ref="H5:H8" si="0">G5*F5</f>
        <v>42.666666666666664</v>
      </c>
    </row>
    <row r="6" spans="2:9" ht="63" customHeight="1" x14ac:dyDescent="0.25">
      <c r="B6" s="8" t="s">
        <v>16</v>
      </c>
      <c r="C6" s="8" t="s">
        <v>14</v>
      </c>
      <c r="D6" s="8" t="s">
        <v>15</v>
      </c>
      <c r="E6" s="8" t="s">
        <v>12</v>
      </c>
      <c r="F6" s="8">
        <v>7</v>
      </c>
      <c r="G6" s="44">
        <f>'ANÁLISE DOS PREÇOS COLETADOS'!AD7</f>
        <v>22.5</v>
      </c>
      <c r="H6" s="44">
        <f t="shared" si="0"/>
        <v>157.5</v>
      </c>
    </row>
    <row r="7" spans="2:9" ht="110.25" x14ac:dyDescent="0.25">
      <c r="B7" s="8" t="s">
        <v>20</v>
      </c>
      <c r="C7" s="8" t="s">
        <v>410</v>
      </c>
      <c r="D7" s="8" t="s">
        <v>411</v>
      </c>
      <c r="E7" s="8" t="s">
        <v>19</v>
      </c>
      <c r="F7" s="8">
        <v>53</v>
      </c>
      <c r="G7" s="44">
        <f>'ANÁLISE DOS PREÇOS COLETADOS'!AD8</f>
        <v>35.883333333333333</v>
      </c>
      <c r="H7" s="44">
        <f t="shared" si="0"/>
        <v>1901.8166666666666</v>
      </c>
    </row>
    <row r="8" spans="2:9" ht="409.5" x14ac:dyDescent="0.25">
      <c r="B8" s="8" t="s">
        <v>24</v>
      </c>
      <c r="C8" s="8" t="s">
        <v>412</v>
      </c>
      <c r="D8" s="8" t="s">
        <v>26</v>
      </c>
      <c r="E8" s="8" t="s">
        <v>19</v>
      </c>
      <c r="F8" s="8">
        <v>50</v>
      </c>
      <c r="G8" s="44">
        <f>'ANÁLISE DOS PREÇOS COLETADOS'!AD9</f>
        <v>21</v>
      </c>
      <c r="H8" s="44">
        <f t="shared" si="0"/>
        <v>1050</v>
      </c>
    </row>
    <row r="9" spans="2:9" ht="15.75" x14ac:dyDescent="0.25">
      <c r="B9" s="122" t="s">
        <v>27</v>
      </c>
      <c r="C9" s="122" t="s">
        <v>413</v>
      </c>
      <c r="D9" s="8" t="s">
        <v>414</v>
      </c>
      <c r="E9" s="122" t="s">
        <v>19</v>
      </c>
      <c r="F9" s="122">
        <v>20</v>
      </c>
      <c r="G9" s="85">
        <f>'ANÁLISE DOS PREÇOS COLETADOS'!AD21</f>
        <v>50</v>
      </c>
      <c r="H9" s="85">
        <f>G9*F9</f>
        <v>1000</v>
      </c>
      <c r="I9" s="123"/>
    </row>
    <row r="10" spans="2:9" ht="15.75" x14ac:dyDescent="0.25">
      <c r="B10" s="122"/>
      <c r="C10" s="122"/>
      <c r="D10" s="8" t="s">
        <v>415</v>
      </c>
      <c r="E10" s="122"/>
      <c r="F10" s="122"/>
      <c r="G10" s="124"/>
      <c r="H10" s="86"/>
      <c r="I10" s="123"/>
    </row>
    <row r="11" spans="2:9" ht="220.5" x14ac:dyDescent="0.25">
      <c r="B11" s="122"/>
      <c r="C11" s="122"/>
      <c r="D11" s="8" t="s">
        <v>416</v>
      </c>
      <c r="E11" s="122"/>
      <c r="F11" s="122"/>
      <c r="G11" s="125"/>
      <c r="H11" s="87"/>
      <c r="I11" s="123"/>
    </row>
    <row r="12" spans="2:9" ht="63" x14ac:dyDescent="0.25">
      <c r="B12" s="8" t="s">
        <v>38</v>
      </c>
      <c r="C12" s="8" t="s">
        <v>21</v>
      </c>
      <c r="D12" s="8" t="s">
        <v>22</v>
      </c>
      <c r="E12" s="34" t="s">
        <v>23</v>
      </c>
      <c r="F12" s="8">
        <v>6</v>
      </c>
      <c r="G12" s="44">
        <f>'ANÁLISE DOS PREÇOS COLETADOS'!AD25</f>
        <v>10.666666666666666</v>
      </c>
      <c r="H12" s="44">
        <f>G12*F12</f>
        <v>64</v>
      </c>
    </row>
    <row r="13" spans="2:9" ht="63" x14ac:dyDescent="0.25">
      <c r="B13" s="8" t="s">
        <v>417</v>
      </c>
      <c r="C13" s="8" t="s">
        <v>39</v>
      </c>
      <c r="D13" s="8" t="s">
        <v>40</v>
      </c>
      <c r="E13" s="8" t="s">
        <v>418</v>
      </c>
      <c r="F13" s="8">
        <v>3</v>
      </c>
      <c r="G13" s="44">
        <f>'ANÁLISE DOS PREÇOS COLETADOS'!AD27</f>
        <v>45.225000000000001</v>
      </c>
      <c r="H13" s="44">
        <f>G13*F13</f>
        <v>135.67500000000001</v>
      </c>
    </row>
    <row r="14" spans="2:9" ht="15.75" x14ac:dyDescent="0.25">
      <c r="B14" s="84" t="s">
        <v>398</v>
      </c>
      <c r="C14" s="84"/>
      <c r="D14" s="84"/>
      <c r="E14" s="84"/>
      <c r="F14" s="84"/>
      <c r="G14" s="80">
        <f>SUM(H4:H13)</f>
        <v>4415.8583333333336</v>
      </c>
      <c r="H14" s="81"/>
    </row>
    <row r="15" spans="2:9" ht="15.75" customHeight="1" x14ac:dyDescent="0.25">
      <c r="B15" s="119" t="s">
        <v>42</v>
      </c>
      <c r="C15" s="120"/>
      <c r="D15" s="120"/>
      <c r="E15" s="120"/>
      <c r="F15" s="120"/>
      <c r="G15" s="120"/>
      <c r="H15" s="121"/>
    </row>
    <row r="16" spans="2:9" ht="15.75" customHeight="1" x14ac:dyDescent="0.25">
      <c r="B16" s="84" t="s">
        <v>1</v>
      </c>
      <c r="C16" s="84" t="s">
        <v>2</v>
      </c>
      <c r="D16" s="84" t="s">
        <v>3</v>
      </c>
      <c r="E16" s="84" t="s">
        <v>396</v>
      </c>
      <c r="F16" s="84" t="s">
        <v>4</v>
      </c>
      <c r="G16" s="79" t="s">
        <v>759</v>
      </c>
      <c r="H16" s="79" t="s">
        <v>767</v>
      </c>
    </row>
    <row r="17" spans="2:8" ht="39" customHeight="1" x14ac:dyDescent="0.25">
      <c r="B17" s="84"/>
      <c r="C17" s="84"/>
      <c r="D17" s="84"/>
      <c r="E17" s="84"/>
      <c r="F17" s="84"/>
      <c r="G17" s="79"/>
      <c r="H17" s="79"/>
    </row>
    <row r="18" spans="2:8" ht="63" x14ac:dyDescent="0.25">
      <c r="B18" s="8" t="s">
        <v>43</v>
      </c>
      <c r="C18" s="8" t="s">
        <v>44</v>
      </c>
      <c r="D18" s="8" t="s">
        <v>45</v>
      </c>
      <c r="E18" s="8" t="s">
        <v>46</v>
      </c>
      <c r="F18" s="8">
        <v>1</v>
      </c>
      <c r="G18" s="44">
        <f>'ANÁLISE DOS PREÇOS COLETADOS'!AD29</f>
        <v>359.25875000000002</v>
      </c>
      <c r="H18" s="44">
        <f>G18*F18</f>
        <v>359.25875000000002</v>
      </c>
    </row>
    <row r="19" spans="2:8" ht="63" x14ac:dyDescent="0.25">
      <c r="B19" s="8" t="s">
        <v>47</v>
      </c>
      <c r="C19" s="8" t="s">
        <v>48</v>
      </c>
      <c r="D19" s="8" t="s">
        <v>45</v>
      </c>
      <c r="E19" s="8" t="s">
        <v>154</v>
      </c>
      <c r="F19" s="8">
        <v>2</v>
      </c>
      <c r="G19" s="44">
        <f>'ANÁLISE DOS PREÇOS COLETADOS'!AD30</f>
        <v>50</v>
      </c>
      <c r="H19" s="44">
        <f t="shared" ref="H19:H21" si="1">G19*F19</f>
        <v>100</v>
      </c>
    </row>
    <row r="20" spans="2:8" ht="47.25" x14ac:dyDescent="0.25">
      <c r="B20" s="8" t="s">
        <v>50</v>
      </c>
      <c r="C20" s="8" t="s">
        <v>51</v>
      </c>
      <c r="D20" s="8" t="s">
        <v>419</v>
      </c>
      <c r="E20" s="8" t="s">
        <v>46</v>
      </c>
      <c r="F20" s="8">
        <v>1</v>
      </c>
      <c r="G20" s="44">
        <f>'ANÁLISE DOS PREÇOS COLETADOS'!AD31</f>
        <v>310</v>
      </c>
      <c r="H20" s="44">
        <f t="shared" si="1"/>
        <v>310</v>
      </c>
    </row>
    <row r="21" spans="2:8" ht="47.25" x14ac:dyDescent="0.25">
      <c r="B21" s="8" t="s">
        <v>53</v>
      </c>
      <c r="C21" s="8" t="s">
        <v>54</v>
      </c>
      <c r="D21" s="8" t="s">
        <v>419</v>
      </c>
      <c r="E21" s="8" t="s">
        <v>154</v>
      </c>
      <c r="F21" s="8">
        <v>2</v>
      </c>
      <c r="G21" s="44">
        <f>'ANÁLISE DOS PREÇOS COLETADOS'!AD32</f>
        <v>25.301500000000001</v>
      </c>
      <c r="H21" s="44">
        <f t="shared" si="1"/>
        <v>50.603000000000002</v>
      </c>
    </row>
    <row r="22" spans="2:8" ht="15.75" x14ac:dyDescent="0.25">
      <c r="B22" s="84" t="s">
        <v>399</v>
      </c>
      <c r="C22" s="84"/>
      <c r="D22" s="84"/>
      <c r="E22" s="84"/>
      <c r="F22" s="84"/>
      <c r="G22" s="80">
        <f>SUM(H18:H21)</f>
        <v>819.86174999999992</v>
      </c>
      <c r="H22" s="81"/>
    </row>
    <row r="23" spans="2:8" ht="15.75" customHeight="1" x14ac:dyDescent="0.25">
      <c r="B23" s="119" t="s">
        <v>56</v>
      </c>
      <c r="C23" s="120"/>
      <c r="D23" s="120"/>
      <c r="E23" s="120"/>
      <c r="F23" s="120"/>
      <c r="G23" s="120"/>
      <c r="H23" s="121"/>
    </row>
    <row r="24" spans="2:8" ht="15.75" customHeight="1" x14ac:dyDescent="0.25">
      <c r="B24" s="84" t="s">
        <v>1</v>
      </c>
      <c r="C24" s="84" t="s">
        <v>2</v>
      </c>
      <c r="D24" s="84" t="s">
        <v>3</v>
      </c>
      <c r="E24" s="84" t="s">
        <v>396</v>
      </c>
      <c r="F24" s="84" t="s">
        <v>4</v>
      </c>
      <c r="G24" s="79" t="s">
        <v>759</v>
      </c>
      <c r="H24" s="79" t="s">
        <v>767</v>
      </c>
    </row>
    <row r="25" spans="2:8" ht="45" customHeight="1" x14ac:dyDescent="0.25">
      <c r="B25" s="84"/>
      <c r="C25" s="84"/>
      <c r="D25" s="84"/>
      <c r="E25" s="84"/>
      <c r="F25" s="84"/>
      <c r="G25" s="79"/>
      <c r="H25" s="79"/>
    </row>
    <row r="26" spans="2:8" ht="78.75" x14ac:dyDescent="0.25">
      <c r="B26" s="8" t="s">
        <v>57</v>
      </c>
      <c r="C26" s="8" t="s">
        <v>58</v>
      </c>
      <c r="D26" s="8" t="s">
        <v>59</v>
      </c>
      <c r="E26" s="8" t="s">
        <v>301</v>
      </c>
      <c r="F26" s="35">
        <v>425</v>
      </c>
      <c r="G26" s="44">
        <f>'ANÁLISE DOS PREÇOS COLETADOS'!AD35</f>
        <v>21.912950000000002</v>
      </c>
      <c r="H26" s="44">
        <f>G26*F26</f>
        <v>9313.0037500000017</v>
      </c>
    </row>
    <row r="27" spans="2:8" ht="78.75" x14ac:dyDescent="0.25">
      <c r="B27" s="8" t="s">
        <v>60</v>
      </c>
      <c r="C27" s="8" t="s">
        <v>65</v>
      </c>
      <c r="D27" s="8" t="s">
        <v>420</v>
      </c>
      <c r="E27" s="8" t="s">
        <v>301</v>
      </c>
      <c r="F27" s="35">
        <v>100</v>
      </c>
      <c r="G27" s="44">
        <f>'ANÁLISE DOS PREÇOS COLETADOS'!AD37</f>
        <v>20</v>
      </c>
      <c r="H27" s="44">
        <f t="shared" ref="H27:H29" si="2">G27*F27</f>
        <v>2000</v>
      </c>
    </row>
    <row r="28" spans="2:8" ht="78.75" x14ac:dyDescent="0.25">
      <c r="B28" s="8" t="s">
        <v>62</v>
      </c>
      <c r="C28" s="8" t="s">
        <v>61</v>
      </c>
      <c r="D28" s="8" t="s">
        <v>59</v>
      </c>
      <c r="E28" s="8" t="s">
        <v>301</v>
      </c>
      <c r="F28" s="35">
        <v>50</v>
      </c>
      <c r="G28" s="44">
        <f>'ANÁLISE DOS PREÇOS COLETADOS'!AD39</f>
        <v>30</v>
      </c>
      <c r="H28" s="44">
        <f t="shared" si="2"/>
        <v>1500</v>
      </c>
    </row>
    <row r="29" spans="2:8" ht="78.75" x14ac:dyDescent="0.25">
      <c r="B29" s="8" t="s">
        <v>64</v>
      </c>
      <c r="C29" s="8" t="s">
        <v>63</v>
      </c>
      <c r="D29" s="8" t="s">
        <v>59</v>
      </c>
      <c r="E29" s="8" t="s">
        <v>301</v>
      </c>
      <c r="F29" s="35">
        <v>32</v>
      </c>
      <c r="G29" s="44">
        <f>'ANÁLISE DOS PREÇOS COLETADOS'!AD40</f>
        <v>21.912950000000002</v>
      </c>
      <c r="H29" s="44">
        <f t="shared" si="2"/>
        <v>701.21440000000007</v>
      </c>
    </row>
    <row r="30" spans="2:8" ht="15.75" x14ac:dyDescent="0.25">
      <c r="B30" s="84" t="s">
        <v>400</v>
      </c>
      <c r="C30" s="84"/>
      <c r="D30" s="84"/>
      <c r="E30" s="84"/>
      <c r="F30" s="84"/>
      <c r="G30" s="80">
        <f>SUM(H26:H29)</f>
        <v>13514.218150000002</v>
      </c>
      <c r="H30" s="81"/>
    </row>
    <row r="31" spans="2:8" ht="15.75" customHeight="1" x14ac:dyDescent="0.25">
      <c r="B31" s="119" t="s">
        <v>66</v>
      </c>
      <c r="C31" s="120"/>
      <c r="D31" s="120"/>
      <c r="E31" s="120"/>
      <c r="F31" s="120"/>
      <c r="G31" s="120"/>
      <c r="H31" s="121"/>
    </row>
    <row r="32" spans="2:8" ht="25.5" customHeight="1" x14ac:dyDescent="0.25">
      <c r="B32" s="84" t="s">
        <v>1</v>
      </c>
      <c r="C32" s="84" t="s">
        <v>2</v>
      </c>
      <c r="D32" s="84" t="s">
        <v>3</v>
      </c>
      <c r="E32" s="84" t="s">
        <v>396</v>
      </c>
      <c r="F32" s="84" t="s">
        <v>4</v>
      </c>
      <c r="G32" s="79" t="s">
        <v>759</v>
      </c>
      <c r="H32" s="79" t="s">
        <v>767</v>
      </c>
    </row>
    <row r="33" spans="2:8" ht="39" customHeight="1" x14ac:dyDescent="0.25">
      <c r="B33" s="84"/>
      <c r="C33" s="84"/>
      <c r="D33" s="84"/>
      <c r="E33" s="84"/>
      <c r="F33" s="84"/>
      <c r="G33" s="79"/>
      <c r="H33" s="79"/>
    </row>
    <row r="34" spans="2:8" ht="78.75" x14ac:dyDescent="0.25">
      <c r="B34" s="8" t="s">
        <v>67</v>
      </c>
      <c r="C34" s="8" t="s">
        <v>68</v>
      </c>
      <c r="D34" s="8" t="s">
        <v>69</v>
      </c>
      <c r="E34" s="8" t="s">
        <v>70</v>
      </c>
      <c r="F34" s="8">
        <v>1</v>
      </c>
      <c r="G34" s="44">
        <f>'ANÁLISE DOS PREÇOS COLETADOS'!AD43</f>
        <v>500</v>
      </c>
      <c r="H34" s="44">
        <f>G34*F34</f>
        <v>500</v>
      </c>
    </row>
    <row r="35" spans="2:8" ht="15.75" x14ac:dyDescent="0.25">
      <c r="B35" s="8" t="s">
        <v>71</v>
      </c>
      <c r="C35" s="8" t="s">
        <v>421</v>
      </c>
      <c r="D35" s="8" t="s">
        <v>422</v>
      </c>
      <c r="E35" s="8" t="s">
        <v>70</v>
      </c>
      <c r="F35" s="8">
        <v>1</v>
      </c>
      <c r="G35" s="44">
        <f>'ANÁLISE DOS PREÇOS COLETADOS'!AD45</f>
        <v>5</v>
      </c>
      <c r="H35" s="44">
        <f t="shared" ref="H35:H59" si="3">G35*F35</f>
        <v>5</v>
      </c>
    </row>
    <row r="36" spans="2:8" ht="110.25" x14ac:dyDescent="0.25">
      <c r="B36" s="8" t="s">
        <v>74</v>
      </c>
      <c r="C36" s="8" t="s">
        <v>75</v>
      </c>
      <c r="D36" s="8" t="s">
        <v>423</v>
      </c>
      <c r="E36" s="8" t="s">
        <v>70</v>
      </c>
      <c r="F36" s="8">
        <v>5</v>
      </c>
      <c r="G36" s="44">
        <f>'ANÁLISE DOS PREÇOS COLETADOS'!AD46</f>
        <v>23</v>
      </c>
      <c r="H36" s="44">
        <f t="shared" si="3"/>
        <v>115</v>
      </c>
    </row>
    <row r="37" spans="2:8" ht="31.5" x14ac:dyDescent="0.25">
      <c r="B37" s="8" t="s">
        <v>77</v>
      </c>
      <c r="C37" s="8" t="s">
        <v>81</v>
      </c>
      <c r="D37" s="8" t="s">
        <v>424</v>
      </c>
      <c r="E37" s="8" t="s">
        <v>70</v>
      </c>
      <c r="F37" s="8">
        <v>2</v>
      </c>
      <c r="G37" s="44">
        <f>'ANÁLISE DOS PREÇOS COLETADOS'!AD47</f>
        <v>9.2800000000000011</v>
      </c>
      <c r="H37" s="44">
        <f t="shared" si="3"/>
        <v>18.560000000000002</v>
      </c>
    </row>
    <row r="38" spans="2:8" ht="31.5" x14ac:dyDescent="0.25">
      <c r="B38" s="8" t="s">
        <v>80</v>
      </c>
      <c r="C38" s="8" t="s">
        <v>84</v>
      </c>
      <c r="D38" s="8" t="s">
        <v>85</v>
      </c>
      <c r="E38" s="8" t="s">
        <v>70</v>
      </c>
      <c r="F38" s="8">
        <v>4</v>
      </c>
      <c r="G38" s="44">
        <f>'ANÁLISE DOS PREÇOS COLETADOS'!AD49</f>
        <v>90</v>
      </c>
      <c r="H38" s="44">
        <f t="shared" si="3"/>
        <v>360</v>
      </c>
    </row>
    <row r="39" spans="2:8" ht="31.5" x14ac:dyDescent="0.25">
      <c r="B39" s="8" t="s">
        <v>83</v>
      </c>
      <c r="C39" s="8" t="s">
        <v>84</v>
      </c>
      <c r="D39" s="8" t="s">
        <v>87</v>
      </c>
      <c r="E39" s="8" t="s">
        <v>70</v>
      </c>
      <c r="F39" s="8">
        <v>2</v>
      </c>
      <c r="G39" s="44">
        <f>'ANÁLISE DOS PREÇOS COLETADOS'!AD50</f>
        <v>87.5</v>
      </c>
      <c r="H39" s="44">
        <f t="shared" si="3"/>
        <v>175</v>
      </c>
    </row>
    <row r="40" spans="2:8" ht="31.5" x14ac:dyDescent="0.25">
      <c r="B40" s="8" t="s">
        <v>86</v>
      </c>
      <c r="C40" s="8" t="s">
        <v>89</v>
      </c>
      <c r="D40" s="8" t="s">
        <v>425</v>
      </c>
      <c r="E40" s="8" t="s">
        <v>70</v>
      </c>
      <c r="F40" s="8">
        <v>2</v>
      </c>
      <c r="G40" s="44">
        <f>'ANÁLISE DOS PREÇOS COLETADOS'!AD51</f>
        <v>43.002499999999998</v>
      </c>
      <c r="H40" s="44">
        <f t="shared" si="3"/>
        <v>86.004999999999995</v>
      </c>
    </row>
    <row r="41" spans="2:8" ht="189" x14ac:dyDescent="0.25">
      <c r="B41" s="8" t="s">
        <v>88</v>
      </c>
      <c r="C41" s="8" t="s">
        <v>92</v>
      </c>
      <c r="D41" s="8" t="s">
        <v>426</v>
      </c>
      <c r="E41" s="8" t="s">
        <v>70</v>
      </c>
      <c r="F41" s="8">
        <v>2</v>
      </c>
      <c r="G41" s="44">
        <f>'ANÁLISE DOS PREÇOS COLETADOS'!AD52</f>
        <v>20</v>
      </c>
      <c r="H41" s="44">
        <f t="shared" si="3"/>
        <v>40</v>
      </c>
    </row>
    <row r="42" spans="2:8" ht="157.5" x14ac:dyDescent="0.25">
      <c r="B42" s="8" t="s">
        <v>91</v>
      </c>
      <c r="C42" s="8" t="s">
        <v>95</v>
      </c>
      <c r="D42" s="8" t="s">
        <v>427</v>
      </c>
      <c r="E42" s="8" t="s">
        <v>70</v>
      </c>
      <c r="F42" s="8">
        <v>2</v>
      </c>
      <c r="G42" s="44">
        <f>'ANÁLISE DOS PREÇOS COLETADOS'!AD53</f>
        <v>38.5</v>
      </c>
      <c r="H42" s="44">
        <f t="shared" si="3"/>
        <v>77</v>
      </c>
    </row>
    <row r="43" spans="2:8" ht="31.5" x14ac:dyDescent="0.25">
      <c r="B43" s="8" t="s">
        <v>94</v>
      </c>
      <c r="C43" s="8" t="s">
        <v>98</v>
      </c>
      <c r="D43" s="8" t="s">
        <v>99</v>
      </c>
      <c r="E43" s="8" t="s">
        <v>7</v>
      </c>
      <c r="F43" s="8">
        <v>1</v>
      </c>
      <c r="G43" s="44">
        <f>'ANÁLISE DOS PREÇOS COLETADOS'!AD54</f>
        <v>7.5</v>
      </c>
      <c r="H43" s="44">
        <f t="shared" si="3"/>
        <v>7.5</v>
      </c>
    </row>
    <row r="44" spans="2:8" ht="47.25" x14ac:dyDescent="0.25">
      <c r="B44" s="8" t="s">
        <v>97</v>
      </c>
      <c r="C44" s="8" t="s">
        <v>101</v>
      </c>
      <c r="D44" s="8" t="s">
        <v>102</v>
      </c>
      <c r="E44" s="8" t="s">
        <v>70</v>
      </c>
      <c r="F44" s="8">
        <v>3</v>
      </c>
      <c r="G44" s="44">
        <f>'ANÁLISE DOS PREÇOS COLETADOS'!AD55</f>
        <v>10</v>
      </c>
      <c r="H44" s="44">
        <f t="shared" si="3"/>
        <v>30</v>
      </c>
    </row>
    <row r="45" spans="2:8" ht="94.5" x14ac:dyDescent="0.25">
      <c r="B45" s="8" t="s">
        <v>100</v>
      </c>
      <c r="C45" s="8" t="s">
        <v>104</v>
      </c>
      <c r="D45" s="8" t="s">
        <v>428</v>
      </c>
      <c r="E45" s="8" t="s">
        <v>70</v>
      </c>
      <c r="F45" s="8">
        <v>1</v>
      </c>
      <c r="G45" s="44">
        <f>'ANÁLISE DOS PREÇOS COLETADOS'!AD56</f>
        <v>925</v>
      </c>
      <c r="H45" s="44">
        <f t="shared" si="3"/>
        <v>925</v>
      </c>
    </row>
    <row r="46" spans="2:8" ht="78.75" x14ac:dyDescent="0.25">
      <c r="B46" s="8" t="s">
        <v>103</v>
      </c>
      <c r="C46" s="8" t="s">
        <v>429</v>
      </c>
      <c r="D46" s="8" t="s">
        <v>430</v>
      </c>
      <c r="E46" s="8" t="s">
        <v>70</v>
      </c>
      <c r="F46" s="8">
        <v>1</v>
      </c>
      <c r="G46" s="44">
        <f>'ANÁLISE DOS PREÇOS COLETADOS'!AD57</f>
        <v>2100</v>
      </c>
      <c r="H46" s="44">
        <f t="shared" si="3"/>
        <v>2100</v>
      </c>
    </row>
    <row r="47" spans="2:8" ht="189" x14ac:dyDescent="0.25">
      <c r="B47" s="8" t="s">
        <v>106</v>
      </c>
      <c r="C47" s="8" t="s">
        <v>110</v>
      </c>
      <c r="D47" s="8" t="s">
        <v>111</v>
      </c>
      <c r="E47" s="8" t="s">
        <v>112</v>
      </c>
      <c r="F47" s="8">
        <v>1</v>
      </c>
      <c r="G47" s="44">
        <f>'ANÁLISE DOS PREÇOS COLETADOS'!AD59</f>
        <v>500</v>
      </c>
      <c r="H47" s="44">
        <f t="shared" si="3"/>
        <v>500</v>
      </c>
    </row>
    <row r="48" spans="2:8" ht="31.5" x14ac:dyDescent="0.25">
      <c r="B48" s="8" t="s">
        <v>109</v>
      </c>
      <c r="C48" s="8" t="s">
        <v>118</v>
      </c>
      <c r="D48" s="8" t="s">
        <v>119</v>
      </c>
      <c r="E48" s="8" t="s">
        <v>70</v>
      </c>
      <c r="F48" s="8">
        <v>2</v>
      </c>
      <c r="G48" s="44">
        <f>'ANÁLISE DOS PREÇOS COLETADOS'!AD60</f>
        <v>105</v>
      </c>
      <c r="H48" s="44">
        <f t="shared" si="3"/>
        <v>210</v>
      </c>
    </row>
    <row r="49" spans="2:14" ht="31.5" x14ac:dyDescent="0.25">
      <c r="B49" s="8" t="s">
        <v>113</v>
      </c>
      <c r="C49" s="8" t="s">
        <v>124</v>
      </c>
      <c r="D49" s="8" t="s">
        <v>431</v>
      </c>
      <c r="E49" s="8" t="s">
        <v>70</v>
      </c>
      <c r="F49" s="8">
        <v>5</v>
      </c>
      <c r="G49" s="44">
        <f>'ANÁLISE DOS PREÇOS COLETADOS'!AD61</f>
        <v>26.666666666666668</v>
      </c>
      <c r="H49" s="44">
        <f t="shared" si="3"/>
        <v>133.33333333333334</v>
      </c>
    </row>
    <row r="50" spans="2:14" ht="31.5" x14ac:dyDescent="0.25">
      <c r="B50" s="8" t="s">
        <v>117</v>
      </c>
      <c r="C50" s="8" t="s">
        <v>121</v>
      </c>
      <c r="D50" s="8" t="s">
        <v>122</v>
      </c>
      <c r="E50" s="8" t="s">
        <v>70</v>
      </c>
      <c r="F50" s="8">
        <v>8</v>
      </c>
      <c r="G50" s="44">
        <f>'ANÁLISE DOS PREÇOS COLETADOS'!AD62</f>
        <v>28</v>
      </c>
      <c r="H50" s="44">
        <f t="shared" si="3"/>
        <v>224</v>
      </c>
    </row>
    <row r="51" spans="2:14" ht="15.75" x14ac:dyDescent="0.25">
      <c r="B51" s="8" t="s">
        <v>120</v>
      </c>
      <c r="C51" s="8" t="s">
        <v>124</v>
      </c>
      <c r="D51" s="8" t="s">
        <v>125</v>
      </c>
      <c r="E51" s="8" t="s">
        <v>70</v>
      </c>
      <c r="F51" s="8">
        <v>12</v>
      </c>
      <c r="G51" s="44">
        <f>'ANÁLISE DOS PREÇOS COLETADOS'!AD64</f>
        <v>21.5</v>
      </c>
      <c r="H51" s="44">
        <f t="shared" si="3"/>
        <v>258</v>
      </c>
    </row>
    <row r="52" spans="2:14" ht="126" x14ac:dyDescent="0.25">
      <c r="B52" s="8" t="s">
        <v>123</v>
      </c>
      <c r="C52" s="8" t="s">
        <v>432</v>
      </c>
      <c r="D52" s="8" t="s">
        <v>433</v>
      </c>
      <c r="E52" s="8" t="s">
        <v>224</v>
      </c>
      <c r="F52" s="8">
        <v>24</v>
      </c>
      <c r="G52" s="44">
        <f>'ANÁLISE DOS PREÇOS COLETADOS'!AD65</f>
        <v>145.36000000000001</v>
      </c>
      <c r="H52" s="44">
        <f t="shared" si="3"/>
        <v>3488.6400000000003</v>
      </c>
    </row>
    <row r="53" spans="2:14" ht="63" x14ac:dyDescent="0.25">
      <c r="B53" s="8" t="s">
        <v>126</v>
      </c>
      <c r="C53" s="8" t="s">
        <v>127</v>
      </c>
      <c r="D53" s="8" t="s">
        <v>434</v>
      </c>
      <c r="E53" s="8" t="s">
        <v>435</v>
      </c>
      <c r="F53" s="8">
        <v>4</v>
      </c>
      <c r="G53" s="44">
        <f>'ANÁLISE DOS PREÇOS COLETADOS'!AD66</f>
        <v>30</v>
      </c>
      <c r="H53" s="44">
        <f t="shared" si="3"/>
        <v>120</v>
      </c>
    </row>
    <row r="54" spans="2:14" ht="126" x14ac:dyDescent="0.25">
      <c r="B54" s="8" t="s">
        <v>129</v>
      </c>
      <c r="C54" s="8" t="s">
        <v>133</v>
      </c>
      <c r="D54" s="8" t="s">
        <v>436</v>
      </c>
      <c r="E54" s="8" t="s">
        <v>70</v>
      </c>
      <c r="F54" s="8">
        <v>8</v>
      </c>
      <c r="G54" s="44">
        <f>'ANÁLISE DOS PREÇOS COLETADOS'!AD68</f>
        <v>5</v>
      </c>
      <c r="H54" s="44">
        <f t="shared" si="3"/>
        <v>40</v>
      </c>
    </row>
    <row r="55" spans="2:14" ht="47.25" x14ac:dyDescent="0.25">
      <c r="B55" s="8" t="s">
        <v>132</v>
      </c>
      <c r="C55" s="8" t="s">
        <v>136</v>
      </c>
      <c r="D55" s="8" t="s">
        <v>137</v>
      </c>
      <c r="E55" s="8" t="s">
        <v>70</v>
      </c>
      <c r="F55" s="8">
        <v>2</v>
      </c>
      <c r="G55" s="44">
        <f>'ANÁLISE DOS PREÇOS COLETADOS'!AD69</f>
        <v>55</v>
      </c>
      <c r="H55" s="44">
        <f t="shared" si="3"/>
        <v>110</v>
      </c>
    </row>
    <row r="56" spans="2:14" ht="47.25" x14ac:dyDescent="0.25">
      <c r="B56" s="8" t="s">
        <v>135</v>
      </c>
      <c r="C56" s="8" t="s">
        <v>136</v>
      </c>
      <c r="D56" s="8" t="s">
        <v>140</v>
      </c>
      <c r="E56" s="8" t="s">
        <v>70</v>
      </c>
      <c r="F56" s="8">
        <v>2</v>
      </c>
      <c r="G56" s="44">
        <f>'ANÁLISE DOS PREÇOS COLETADOS'!AD70</f>
        <v>115</v>
      </c>
      <c r="H56" s="44">
        <f t="shared" si="3"/>
        <v>230</v>
      </c>
    </row>
    <row r="57" spans="2:14" ht="47.25" x14ac:dyDescent="0.25">
      <c r="B57" s="8" t="s">
        <v>138</v>
      </c>
      <c r="C57" s="8" t="s">
        <v>139</v>
      </c>
      <c r="D57" s="8" t="s">
        <v>142</v>
      </c>
      <c r="E57" s="8" t="s">
        <v>70</v>
      </c>
      <c r="F57" s="8">
        <v>2</v>
      </c>
      <c r="G57" s="44">
        <f>'ANÁLISE DOS PREÇOS COLETADOS'!AD71</f>
        <v>113.33333333333333</v>
      </c>
      <c r="H57" s="44">
        <f t="shared" si="3"/>
        <v>226.66666666666666</v>
      </c>
    </row>
    <row r="58" spans="2:14" ht="47.25" x14ac:dyDescent="0.25">
      <c r="B58" s="8" t="s">
        <v>141</v>
      </c>
      <c r="C58" s="8" t="s">
        <v>139</v>
      </c>
      <c r="D58" s="8" t="s">
        <v>144</v>
      </c>
      <c r="E58" s="8" t="s">
        <v>70</v>
      </c>
      <c r="F58" s="8">
        <v>2</v>
      </c>
      <c r="G58" s="44">
        <f>'ANÁLISE DOS PREÇOS COLETADOS'!AD72</f>
        <v>150</v>
      </c>
      <c r="H58" s="44">
        <f t="shared" si="3"/>
        <v>300</v>
      </c>
    </row>
    <row r="59" spans="2:14" ht="189" x14ac:dyDescent="0.25">
      <c r="B59" s="8" t="s">
        <v>143</v>
      </c>
      <c r="C59" s="8" t="s">
        <v>149</v>
      </c>
      <c r="D59" s="8" t="s">
        <v>150</v>
      </c>
      <c r="E59" s="8" t="s">
        <v>70</v>
      </c>
      <c r="F59" s="8">
        <v>1</v>
      </c>
      <c r="G59" s="44">
        <f>'ANÁLISE DOS PREÇOS COLETADOS'!AD74</f>
        <v>5</v>
      </c>
      <c r="H59" s="44">
        <f t="shared" si="3"/>
        <v>5</v>
      </c>
    </row>
    <row r="60" spans="2:14" ht="204.75" x14ac:dyDescent="0.25">
      <c r="B60" s="122" t="s">
        <v>145</v>
      </c>
      <c r="C60" s="122" t="s">
        <v>162</v>
      </c>
      <c r="D60" s="8" t="s">
        <v>163</v>
      </c>
      <c r="E60" s="122" t="s">
        <v>7</v>
      </c>
      <c r="F60" s="122">
        <v>1</v>
      </c>
      <c r="G60" s="90">
        <f>'ANÁLISE DOS PREÇOS COLETADOS'!AD78</f>
        <v>2300</v>
      </c>
      <c r="H60" s="90">
        <f>G60*F60</f>
        <v>2300</v>
      </c>
      <c r="I60" s="123"/>
      <c r="J60" s="123"/>
      <c r="K60" s="123"/>
      <c r="L60" s="123"/>
      <c r="M60" s="123"/>
      <c r="N60" s="123"/>
    </row>
    <row r="61" spans="2:14" ht="15.75" x14ac:dyDescent="0.25">
      <c r="B61" s="122"/>
      <c r="C61" s="122"/>
      <c r="D61" s="8" t="s">
        <v>164</v>
      </c>
      <c r="E61" s="122"/>
      <c r="F61" s="122"/>
      <c r="G61" s="91"/>
      <c r="H61" s="91"/>
      <c r="I61" s="123"/>
      <c r="J61" s="123"/>
      <c r="K61" s="123"/>
      <c r="L61" s="123"/>
      <c r="M61" s="123"/>
      <c r="N61" s="123"/>
    </row>
    <row r="62" spans="2:14" ht="47.25" x14ac:dyDescent="0.25">
      <c r="B62" s="122"/>
      <c r="C62" s="122"/>
      <c r="D62" s="8" t="s">
        <v>165</v>
      </c>
      <c r="E62" s="122"/>
      <c r="F62" s="122"/>
      <c r="G62" s="91"/>
      <c r="H62" s="91"/>
      <c r="I62" s="123"/>
      <c r="J62" s="123"/>
      <c r="K62" s="123"/>
      <c r="L62" s="123"/>
      <c r="M62" s="123"/>
      <c r="N62" s="123"/>
    </row>
    <row r="63" spans="2:14" ht="94.5" x14ac:dyDescent="0.25">
      <c r="B63" s="8" t="s">
        <v>148</v>
      </c>
      <c r="C63" s="8" t="s">
        <v>167</v>
      </c>
      <c r="D63" s="8" t="s">
        <v>437</v>
      </c>
      <c r="E63" s="8" t="s">
        <v>7</v>
      </c>
      <c r="F63" s="8">
        <v>1</v>
      </c>
      <c r="G63" s="44">
        <f>'ANÁLISE DOS PREÇOS COLETADOS'!AD81</f>
        <v>64.52</v>
      </c>
      <c r="H63" s="44">
        <f>G63*F63</f>
        <v>64.52</v>
      </c>
    </row>
    <row r="64" spans="2:14" ht="31.5" x14ac:dyDescent="0.25">
      <c r="B64" s="8" t="s">
        <v>151</v>
      </c>
      <c r="C64" s="8" t="s">
        <v>170</v>
      </c>
      <c r="D64" s="8" t="s">
        <v>438</v>
      </c>
      <c r="E64" s="8" t="s">
        <v>12</v>
      </c>
      <c r="F64" s="8">
        <v>1</v>
      </c>
      <c r="G64" s="44">
        <f>'ANÁLISE DOS PREÇOS COLETADOS'!AD82</f>
        <v>6</v>
      </c>
      <c r="H64" s="44">
        <f t="shared" ref="H64:H81" si="4">G64*F64</f>
        <v>6</v>
      </c>
    </row>
    <row r="65" spans="2:8" ht="68.25" customHeight="1" x14ac:dyDescent="0.25">
      <c r="B65" s="8" t="s">
        <v>155</v>
      </c>
      <c r="C65" s="8" t="s">
        <v>173</v>
      </c>
      <c r="D65" s="8" t="s">
        <v>439</v>
      </c>
      <c r="E65" s="8" t="s">
        <v>12</v>
      </c>
      <c r="F65" s="8">
        <v>1</v>
      </c>
      <c r="G65" s="44">
        <f>'ANÁLISE DOS PREÇOS COLETADOS'!AD84</f>
        <v>35</v>
      </c>
      <c r="H65" s="44">
        <f t="shared" si="4"/>
        <v>35</v>
      </c>
    </row>
    <row r="66" spans="2:8" ht="47.25" x14ac:dyDescent="0.25">
      <c r="B66" s="8" t="s">
        <v>158</v>
      </c>
      <c r="C66" s="8" t="s">
        <v>176</v>
      </c>
      <c r="D66" s="8" t="s">
        <v>440</v>
      </c>
      <c r="E66" s="8" t="s">
        <v>12</v>
      </c>
      <c r="F66" s="8">
        <v>1</v>
      </c>
      <c r="G66" s="44">
        <f>'ANÁLISE DOS PREÇOS COLETADOS'!AD85</f>
        <v>52.5</v>
      </c>
      <c r="H66" s="44">
        <f t="shared" si="4"/>
        <v>52.5</v>
      </c>
    </row>
    <row r="67" spans="2:8" ht="252" customHeight="1" x14ac:dyDescent="0.25">
      <c r="B67" s="8" t="s">
        <v>161</v>
      </c>
      <c r="C67" s="8" t="s">
        <v>179</v>
      </c>
      <c r="D67" s="57" t="s">
        <v>803</v>
      </c>
      <c r="E67" s="8" t="s">
        <v>804</v>
      </c>
      <c r="F67" s="8">
        <v>1</v>
      </c>
      <c r="G67" s="44">
        <f>'ANÁLISE DOS PREÇOS COLETADOS'!AD87</f>
        <v>106.66666666666667</v>
      </c>
      <c r="H67" s="44">
        <f t="shared" si="4"/>
        <v>106.66666666666667</v>
      </c>
    </row>
    <row r="68" spans="2:8" ht="273" customHeight="1" x14ac:dyDescent="0.25">
      <c r="B68" s="8" t="s">
        <v>166</v>
      </c>
      <c r="C68" s="8" t="s">
        <v>441</v>
      </c>
      <c r="D68" s="57" t="s">
        <v>803</v>
      </c>
      <c r="E68" s="8" t="s">
        <v>804</v>
      </c>
      <c r="F68" s="8">
        <v>1</v>
      </c>
      <c r="G68" s="44">
        <f>'ANÁLISE DOS PREÇOS COLETADOS'!AD88</f>
        <v>106.66666666666667</v>
      </c>
      <c r="H68" s="44">
        <f t="shared" si="4"/>
        <v>106.66666666666667</v>
      </c>
    </row>
    <row r="69" spans="2:8" ht="141.75" customHeight="1" x14ac:dyDescent="0.25">
      <c r="B69" s="8" t="s">
        <v>169</v>
      </c>
      <c r="C69" s="8" t="s">
        <v>443</v>
      </c>
      <c r="D69" s="8" t="s">
        <v>188</v>
      </c>
      <c r="E69" s="8" t="s">
        <v>7</v>
      </c>
      <c r="F69" s="8">
        <v>1</v>
      </c>
      <c r="G69" s="44">
        <f>'ANÁLISE DOS PREÇOS COLETADOS'!AD90</f>
        <v>448.48750000000001</v>
      </c>
      <c r="H69" s="44">
        <f t="shared" si="4"/>
        <v>448.48750000000001</v>
      </c>
    </row>
    <row r="70" spans="2:8" ht="173.25" x14ac:dyDescent="0.25">
      <c r="B70" s="8" t="s">
        <v>172</v>
      </c>
      <c r="C70" s="8" t="s">
        <v>190</v>
      </c>
      <c r="D70" s="8" t="s">
        <v>191</v>
      </c>
      <c r="E70" s="8" t="s">
        <v>7</v>
      </c>
      <c r="F70" s="8">
        <v>2</v>
      </c>
      <c r="G70" s="44">
        <f>'ANÁLISE DOS PREÇOS COLETADOS'!AD91</f>
        <v>200</v>
      </c>
      <c r="H70" s="44">
        <f t="shared" si="4"/>
        <v>400</v>
      </c>
    </row>
    <row r="71" spans="2:8" ht="173.25" x14ac:dyDescent="0.25">
      <c r="B71" s="8" t="s">
        <v>175</v>
      </c>
      <c r="C71" s="8" t="s">
        <v>193</v>
      </c>
      <c r="D71" s="8" t="s">
        <v>194</v>
      </c>
      <c r="E71" s="8" t="s">
        <v>7</v>
      </c>
      <c r="F71" s="8">
        <v>2</v>
      </c>
      <c r="G71" s="44">
        <f>'ANÁLISE DOS PREÇOS COLETADOS'!AD92</f>
        <v>1255</v>
      </c>
      <c r="H71" s="44">
        <f t="shared" si="4"/>
        <v>2510</v>
      </c>
    </row>
    <row r="72" spans="2:8" ht="15.75" x14ac:dyDescent="0.25">
      <c r="B72" s="8" t="s">
        <v>178</v>
      </c>
      <c r="C72" s="8" t="s">
        <v>198</v>
      </c>
      <c r="D72" s="8" t="s">
        <v>199</v>
      </c>
      <c r="E72" s="8" t="s">
        <v>70</v>
      </c>
      <c r="F72" s="8">
        <v>1</v>
      </c>
      <c r="G72" s="44">
        <f>'ANÁLISE DOS PREÇOS COLETADOS'!AD94</f>
        <v>8</v>
      </c>
      <c r="H72" s="44">
        <f t="shared" si="4"/>
        <v>8</v>
      </c>
    </row>
    <row r="73" spans="2:8" ht="15.75" x14ac:dyDescent="0.25">
      <c r="B73" s="8" t="s">
        <v>182</v>
      </c>
      <c r="C73" s="8" t="s">
        <v>198</v>
      </c>
      <c r="D73" s="8" t="s">
        <v>202</v>
      </c>
      <c r="E73" s="8" t="s">
        <v>70</v>
      </c>
      <c r="F73" s="8">
        <v>1</v>
      </c>
      <c r="G73" s="44">
        <f>'ANÁLISE DOS PREÇOS COLETADOS'!AD95</f>
        <v>15</v>
      </c>
      <c r="H73" s="44">
        <f t="shared" si="4"/>
        <v>15</v>
      </c>
    </row>
    <row r="74" spans="2:8" ht="63" x14ac:dyDescent="0.25">
      <c r="B74" s="8" t="s">
        <v>186</v>
      </c>
      <c r="C74" s="8" t="s">
        <v>204</v>
      </c>
      <c r="D74" s="8" t="s">
        <v>444</v>
      </c>
      <c r="E74" s="8" t="s">
        <v>70</v>
      </c>
      <c r="F74" s="8">
        <v>2</v>
      </c>
      <c r="G74" s="44">
        <f>'ANÁLISE DOS PREÇOS COLETADOS'!AD99</f>
        <v>80</v>
      </c>
      <c r="H74" s="44">
        <f t="shared" si="4"/>
        <v>160</v>
      </c>
    </row>
    <row r="75" spans="2:8" ht="63" x14ac:dyDescent="0.25">
      <c r="B75" s="8" t="s">
        <v>189</v>
      </c>
      <c r="C75" s="8" t="s">
        <v>445</v>
      </c>
      <c r="D75" s="8" t="s">
        <v>446</v>
      </c>
      <c r="E75" s="8" t="s">
        <v>70</v>
      </c>
      <c r="F75" s="8">
        <v>2</v>
      </c>
      <c r="G75" s="44">
        <f>'ANÁLISE DOS PREÇOS COLETADOS'!AD101</f>
        <v>66</v>
      </c>
      <c r="H75" s="44">
        <f t="shared" si="4"/>
        <v>132</v>
      </c>
    </row>
    <row r="76" spans="2:8" ht="63" x14ac:dyDescent="0.25">
      <c r="B76" s="8" t="s">
        <v>192</v>
      </c>
      <c r="C76" s="8" t="s">
        <v>445</v>
      </c>
      <c r="D76" s="8" t="s">
        <v>447</v>
      </c>
      <c r="E76" s="8" t="s">
        <v>70</v>
      </c>
      <c r="F76" s="8">
        <v>2</v>
      </c>
      <c r="G76" s="44">
        <f>'ANÁLISE DOS PREÇOS COLETADOS'!AD102</f>
        <v>71.5</v>
      </c>
      <c r="H76" s="44">
        <f t="shared" si="4"/>
        <v>143</v>
      </c>
    </row>
    <row r="77" spans="2:8" ht="63" x14ac:dyDescent="0.25">
      <c r="B77" s="8" t="s">
        <v>195</v>
      </c>
      <c r="C77" s="8" t="s">
        <v>114</v>
      </c>
      <c r="D77" s="8" t="s">
        <v>115</v>
      </c>
      <c r="E77" s="8" t="s">
        <v>116</v>
      </c>
      <c r="F77" s="8">
        <v>1</v>
      </c>
      <c r="G77" s="44">
        <f>'ANÁLISE DOS PREÇOS COLETADOS'!AD103</f>
        <v>500</v>
      </c>
      <c r="H77" s="44">
        <f t="shared" si="4"/>
        <v>500</v>
      </c>
    </row>
    <row r="78" spans="2:8" ht="47.25" x14ac:dyDescent="0.25">
      <c r="B78" s="8" t="s">
        <v>197</v>
      </c>
      <c r="C78" s="8" t="s">
        <v>216</v>
      </c>
      <c r="D78" s="8" t="s">
        <v>448</v>
      </c>
      <c r="E78" s="8" t="s">
        <v>70</v>
      </c>
      <c r="F78" s="8">
        <v>2</v>
      </c>
      <c r="G78" s="44">
        <f>'ANÁLISE DOS PREÇOS COLETADOS'!AD104</f>
        <v>50</v>
      </c>
      <c r="H78" s="44">
        <f t="shared" si="4"/>
        <v>100</v>
      </c>
    </row>
    <row r="79" spans="2:8" ht="47.25" x14ac:dyDescent="0.25">
      <c r="B79" s="8" t="s">
        <v>200</v>
      </c>
      <c r="C79" s="8" t="s">
        <v>219</v>
      </c>
      <c r="D79" s="8" t="s">
        <v>449</v>
      </c>
      <c r="E79" s="8" t="s">
        <v>70</v>
      </c>
      <c r="F79" s="8">
        <v>2</v>
      </c>
      <c r="G79" s="44">
        <f>'ANÁLISE DOS PREÇOS COLETADOS'!AD105</f>
        <v>100</v>
      </c>
      <c r="H79" s="44">
        <f t="shared" si="4"/>
        <v>200</v>
      </c>
    </row>
    <row r="80" spans="2:8" ht="47.25" x14ac:dyDescent="0.25">
      <c r="B80" s="8" t="s">
        <v>203</v>
      </c>
      <c r="C80" s="8" t="s">
        <v>222</v>
      </c>
      <c r="D80" s="8" t="s">
        <v>223</v>
      </c>
      <c r="E80" s="8" t="s">
        <v>224</v>
      </c>
      <c r="F80" s="8">
        <v>1</v>
      </c>
      <c r="G80" s="44">
        <f>'ANÁLISE DOS PREÇOS COLETADOS'!AD106</f>
        <v>200</v>
      </c>
      <c r="H80" s="44">
        <f t="shared" si="4"/>
        <v>200</v>
      </c>
    </row>
    <row r="81" spans="2:8" ht="63" x14ac:dyDescent="0.25">
      <c r="B81" s="8" t="s">
        <v>206</v>
      </c>
      <c r="C81" s="8" t="s">
        <v>226</v>
      </c>
      <c r="D81" s="8" t="s">
        <v>227</v>
      </c>
      <c r="E81" s="8" t="s">
        <v>70</v>
      </c>
      <c r="F81" s="8">
        <v>3</v>
      </c>
      <c r="G81" s="44">
        <f>'ANÁLISE DOS PREÇOS COLETADOS'!AD107</f>
        <v>5</v>
      </c>
      <c r="H81" s="44">
        <f t="shared" si="4"/>
        <v>15</v>
      </c>
    </row>
    <row r="82" spans="2:8" ht="15.75" x14ac:dyDescent="0.25">
      <c r="B82" s="84" t="s">
        <v>401</v>
      </c>
      <c r="C82" s="84"/>
      <c r="D82" s="84"/>
      <c r="E82" s="84"/>
      <c r="F82" s="84"/>
      <c r="G82" s="80">
        <f>SUM(H34:H81)</f>
        <v>17787.54583333333</v>
      </c>
      <c r="H82" s="81"/>
    </row>
    <row r="83" spans="2:8" ht="15.75" customHeight="1" x14ac:dyDescent="0.25">
      <c r="B83" s="119" t="s">
        <v>228</v>
      </c>
      <c r="C83" s="120"/>
      <c r="D83" s="120"/>
      <c r="E83" s="120"/>
      <c r="F83" s="120"/>
      <c r="G83" s="120"/>
      <c r="H83" s="121"/>
    </row>
    <row r="84" spans="2:8" ht="45" customHeight="1" x14ac:dyDescent="0.25">
      <c r="B84" s="11" t="s">
        <v>1</v>
      </c>
      <c r="C84" s="11" t="s">
        <v>2</v>
      </c>
      <c r="D84" s="11" t="s">
        <v>3</v>
      </c>
      <c r="E84" s="11" t="s">
        <v>396</v>
      </c>
      <c r="F84" s="11" t="s">
        <v>4</v>
      </c>
      <c r="G84" s="47" t="s">
        <v>759</v>
      </c>
      <c r="H84" s="47" t="s">
        <v>767</v>
      </c>
    </row>
    <row r="85" spans="2:8" ht="94.5" customHeight="1" x14ac:dyDescent="0.25">
      <c r="B85" s="8" t="s">
        <v>229</v>
      </c>
      <c r="C85" s="8" t="s">
        <v>450</v>
      </c>
      <c r="D85" s="8" t="s">
        <v>451</v>
      </c>
      <c r="E85" s="8" t="s">
        <v>244</v>
      </c>
      <c r="F85" s="8">
        <v>2</v>
      </c>
      <c r="G85" s="44">
        <f>'ANÁLISE DOS PREÇOS COLETADOS'!AD110</f>
        <v>85</v>
      </c>
      <c r="H85" s="44">
        <f>G85*F85</f>
        <v>170</v>
      </c>
    </row>
    <row r="86" spans="2:8" ht="126" x14ac:dyDescent="0.25">
      <c r="B86" s="8" t="s">
        <v>233</v>
      </c>
      <c r="C86" s="8" t="s">
        <v>230</v>
      </c>
      <c r="D86" s="8" t="s">
        <v>231</v>
      </c>
      <c r="E86" s="8" t="s">
        <v>232</v>
      </c>
      <c r="F86" s="8">
        <v>3</v>
      </c>
      <c r="G86" s="44">
        <f>'ANÁLISE DOS PREÇOS COLETADOS'!AD111</f>
        <v>170.83333333333334</v>
      </c>
      <c r="H86" s="44">
        <f>G86*F86</f>
        <v>512.5</v>
      </c>
    </row>
    <row r="87" spans="2:8" ht="110.25" x14ac:dyDescent="0.25">
      <c r="B87" s="122" t="s">
        <v>245</v>
      </c>
      <c r="C87" s="122" t="s">
        <v>234</v>
      </c>
      <c r="D87" s="8" t="s">
        <v>235</v>
      </c>
      <c r="E87" s="122" t="s">
        <v>244</v>
      </c>
      <c r="F87" s="122">
        <v>1</v>
      </c>
      <c r="G87" s="90">
        <f>'ANÁLISE DOS PREÇOS COLETADOS'!AD112</f>
        <v>133.33333333333334</v>
      </c>
      <c r="H87" s="85">
        <f>G87*F87</f>
        <v>133.33333333333334</v>
      </c>
    </row>
    <row r="88" spans="2:8" ht="47.25" customHeight="1" x14ac:dyDescent="0.25">
      <c r="B88" s="122"/>
      <c r="C88" s="122"/>
      <c r="D88" s="8" t="s">
        <v>236</v>
      </c>
      <c r="E88" s="122"/>
      <c r="F88" s="122"/>
      <c r="G88" s="91"/>
      <c r="H88" s="86"/>
    </row>
    <row r="89" spans="2:8" ht="63" x14ac:dyDescent="0.25">
      <c r="B89" s="122"/>
      <c r="C89" s="122"/>
      <c r="D89" s="8" t="s">
        <v>237</v>
      </c>
      <c r="E89" s="122"/>
      <c r="F89" s="122"/>
      <c r="G89" s="91"/>
      <c r="H89" s="86"/>
    </row>
    <row r="90" spans="2:8" ht="63" x14ac:dyDescent="0.25">
      <c r="B90" s="122"/>
      <c r="C90" s="122"/>
      <c r="D90" s="8" t="s">
        <v>238</v>
      </c>
      <c r="E90" s="122"/>
      <c r="F90" s="122"/>
      <c r="G90" s="91"/>
      <c r="H90" s="86"/>
    </row>
    <row r="91" spans="2:8" ht="63" x14ac:dyDescent="0.25">
      <c r="B91" s="122"/>
      <c r="C91" s="122"/>
      <c r="D91" s="8" t="s">
        <v>239</v>
      </c>
      <c r="E91" s="122"/>
      <c r="F91" s="122"/>
      <c r="G91" s="91"/>
      <c r="H91" s="86"/>
    </row>
    <row r="92" spans="2:8" ht="110.25" x14ac:dyDescent="0.25">
      <c r="B92" s="122"/>
      <c r="C92" s="122"/>
      <c r="D92" s="8" t="s">
        <v>240</v>
      </c>
      <c r="E92" s="122"/>
      <c r="F92" s="122"/>
      <c r="G92" s="91"/>
      <c r="H92" s="86"/>
    </row>
    <row r="93" spans="2:8" ht="31.5" x14ac:dyDescent="0.25">
      <c r="B93" s="122"/>
      <c r="C93" s="122"/>
      <c r="D93" s="8" t="s">
        <v>241</v>
      </c>
      <c r="E93" s="122"/>
      <c r="F93" s="122"/>
      <c r="G93" s="91"/>
      <c r="H93" s="86"/>
    </row>
    <row r="94" spans="2:8" ht="94.5" x14ac:dyDescent="0.25">
      <c r="B94" s="122"/>
      <c r="C94" s="122"/>
      <c r="D94" s="8" t="s">
        <v>242</v>
      </c>
      <c r="E94" s="122"/>
      <c r="F94" s="122"/>
      <c r="G94" s="91"/>
      <c r="H94" s="86"/>
    </row>
    <row r="95" spans="2:8" ht="47.25" x14ac:dyDescent="0.25">
      <c r="B95" s="122"/>
      <c r="C95" s="122"/>
      <c r="D95" s="8" t="s">
        <v>243</v>
      </c>
      <c r="E95" s="122"/>
      <c r="F95" s="122"/>
      <c r="G95" s="91"/>
      <c r="H95" s="87"/>
    </row>
    <row r="96" spans="2:8" ht="173.25" x14ac:dyDescent="0.25">
      <c r="B96" s="8" t="s">
        <v>248</v>
      </c>
      <c r="C96" s="8" t="s">
        <v>246</v>
      </c>
      <c r="D96" s="8" t="s">
        <v>247</v>
      </c>
      <c r="E96" s="8" t="s">
        <v>244</v>
      </c>
      <c r="F96" s="8">
        <v>1</v>
      </c>
      <c r="G96" s="44">
        <f>'ANÁLISE DOS PREÇOS COLETADOS'!AD122</f>
        <v>80</v>
      </c>
      <c r="H96" s="19">
        <f>G96*F96</f>
        <v>80</v>
      </c>
    </row>
    <row r="97" spans="2:8" ht="31.5" x14ac:dyDescent="0.25">
      <c r="B97" s="8" t="s">
        <v>251</v>
      </c>
      <c r="C97" s="8" t="s">
        <v>452</v>
      </c>
      <c r="D97" s="8" t="s">
        <v>453</v>
      </c>
      <c r="E97" s="8" t="s">
        <v>244</v>
      </c>
      <c r="F97" s="8">
        <v>1</v>
      </c>
      <c r="G97" s="44">
        <f>'ANÁLISE DOS PREÇOS COLETADOS'!AD123</f>
        <v>95</v>
      </c>
      <c r="H97" s="19">
        <f t="shared" ref="H97:H112" si="5">G97*F97</f>
        <v>95</v>
      </c>
    </row>
    <row r="98" spans="2:8" ht="31.5" x14ac:dyDescent="0.25">
      <c r="B98" s="8" t="s">
        <v>254</v>
      </c>
      <c r="C98" s="8" t="s">
        <v>249</v>
      </c>
      <c r="D98" s="8" t="s">
        <v>250</v>
      </c>
      <c r="E98" s="8" t="s">
        <v>244</v>
      </c>
      <c r="F98" s="8">
        <v>2</v>
      </c>
      <c r="G98" s="44">
        <f>'ANÁLISE DOS PREÇOS COLETADOS'!AD124</f>
        <v>115</v>
      </c>
      <c r="H98" s="19">
        <f t="shared" si="5"/>
        <v>230</v>
      </c>
    </row>
    <row r="99" spans="2:8" ht="110.25" customHeight="1" x14ac:dyDescent="0.25">
      <c r="B99" s="8" t="s">
        <v>257</v>
      </c>
      <c r="C99" s="8" t="s">
        <v>252</v>
      </c>
      <c r="D99" s="8" t="s">
        <v>253</v>
      </c>
      <c r="E99" s="8" t="s">
        <v>154</v>
      </c>
      <c r="F99" s="8">
        <v>2</v>
      </c>
      <c r="G99" s="44">
        <f>'ANÁLISE DOS PREÇOS COLETADOS'!AD125</f>
        <v>193.75</v>
      </c>
      <c r="H99" s="19">
        <f t="shared" si="5"/>
        <v>387.5</v>
      </c>
    </row>
    <row r="100" spans="2:8" ht="47.25" x14ac:dyDescent="0.25">
      <c r="B100" s="8" t="s">
        <v>260</v>
      </c>
      <c r="C100" s="8" t="s">
        <v>255</v>
      </c>
      <c r="D100" s="8" t="s">
        <v>256</v>
      </c>
      <c r="E100" s="8" t="s">
        <v>244</v>
      </c>
      <c r="F100" s="8">
        <v>1</v>
      </c>
      <c r="G100" s="44">
        <f>'ANÁLISE DOS PREÇOS COLETADOS'!AD126</f>
        <v>650</v>
      </c>
      <c r="H100" s="19">
        <f t="shared" si="5"/>
        <v>650</v>
      </c>
    </row>
    <row r="101" spans="2:8" ht="63" x14ac:dyDescent="0.25">
      <c r="B101" s="8" t="s">
        <v>263</v>
      </c>
      <c r="C101" s="8" t="s">
        <v>258</v>
      </c>
      <c r="D101" s="8" t="s">
        <v>259</v>
      </c>
      <c r="E101" s="8" t="s">
        <v>244</v>
      </c>
      <c r="F101" s="8">
        <v>1</v>
      </c>
      <c r="G101" s="44">
        <f>'ANÁLISE DOS PREÇOS COLETADOS'!AD127</f>
        <v>144.25</v>
      </c>
      <c r="H101" s="19">
        <f t="shared" si="5"/>
        <v>144.25</v>
      </c>
    </row>
    <row r="102" spans="2:8" ht="31.5" x14ac:dyDescent="0.25">
      <c r="B102" s="8" t="s">
        <v>266</v>
      </c>
      <c r="C102" s="8" t="s">
        <v>454</v>
      </c>
      <c r="D102" s="8" t="s">
        <v>455</v>
      </c>
      <c r="E102" s="8" t="s">
        <v>244</v>
      </c>
      <c r="F102" s="8">
        <v>1</v>
      </c>
      <c r="G102" s="44">
        <f>'ANÁLISE DOS PREÇOS COLETADOS'!AD128</f>
        <v>140</v>
      </c>
      <c r="H102" s="19">
        <f t="shared" si="5"/>
        <v>140</v>
      </c>
    </row>
    <row r="103" spans="2:8" ht="31.5" x14ac:dyDescent="0.25">
      <c r="B103" s="8" t="s">
        <v>269</v>
      </c>
      <c r="C103" s="8" t="s">
        <v>261</v>
      </c>
      <c r="D103" s="8" t="s">
        <v>262</v>
      </c>
      <c r="E103" s="8" t="s">
        <v>244</v>
      </c>
      <c r="F103" s="8">
        <v>1</v>
      </c>
      <c r="G103" s="44">
        <f>'ANÁLISE DOS PREÇOS COLETADOS'!AD129</f>
        <v>200</v>
      </c>
      <c r="H103" s="19">
        <f t="shared" si="5"/>
        <v>200</v>
      </c>
    </row>
    <row r="104" spans="2:8" ht="63" x14ac:dyDescent="0.25">
      <c r="B104" s="8" t="s">
        <v>272</v>
      </c>
      <c r="C104" s="8" t="s">
        <v>264</v>
      </c>
      <c r="D104" s="8" t="s">
        <v>265</v>
      </c>
      <c r="E104" s="8" t="s">
        <v>244</v>
      </c>
      <c r="F104" s="8">
        <v>1</v>
      </c>
      <c r="G104" s="44">
        <f>'ANÁLISE DOS PREÇOS COLETADOS'!AD130</f>
        <v>170.66666666666666</v>
      </c>
      <c r="H104" s="19">
        <f t="shared" si="5"/>
        <v>170.66666666666666</v>
      </c>
    </row>
    <row r="105" spans="2:8" ht="31.5" x14ac:dyDescent="0.25">
      <c r="B105" s="8" t="s">
        <v>275</v>
      </c>
      <c r="C105" s="8" t="s">
        <v>267</v>
      </c>
      <c r="D105" s="8" t="s">
        <v>268</v>
      </c>
      <c r="E105" s="8" t="s">
        <v>244</v>
      </c>
      <c r="F105" s="8">
        <v>3</v>
      </c>
      <c r="G105" s="44">
        <f>'ANÁLISE DOS PREÇOS COLETADOS'!AD131</f>
        <v>137.5</v>
      </c>
      <c r="H105" s="19">
        <f t="shared" si="5"/>
        <v>412.5</v>
      </c>
    </row>
    <row r="106" spans="2:8" ht="63" x14ac:dyDescent="0.25">
      <c r="B106" s="8" t="s">
        <v>278</v>
      </c>
      <c r="C106" s="8" t="s">
        <v>270</v>
      </c>
      <c r="D106" s="8" t="s">
        <v>271</v>
      </c>
      <c r="E106" s="8" t="s">
        <v>244</v>
      </c>
      <c r="F106" s="8">
        <v>1</v>
      </c>
      <c r="G106" s="44">
        <f>'ANÁLISE DOS PREÇOS COLETADOS'!AD132</f>
        <v>192.5</v>
      </c>
      <c r="H106" s="19">
        <f t="shared" si="5"/>
        <v>192.5</v>
      </c>
    </row>
    <row r="107" spans="2:8" ht="47.25" x14ac:dyDescent="0.25">
      <c r="B107" s="8" t="s">
        <v>281</v>
      </c>
      <c r="C107" s="8" t="s">
        <v>456</v>
      </c>
      <c r="D107" s="8" t="s">
        <v>457</v>
      </c>
      <c r="E107" s="8" t="s">
        <v>232</v>
      </c>
      <c r="F107" s="8">
        <v>2</v>
      </c>
      <c r="G107" s="44">
        <f>'ANÁLISE DOS PREÇOS COLETADOS'!AD136</f>
        <v>140</v>
      </c>
      <c r="H107" s="19">
        <f t="shared" si="5"/>
        <v>280</v>
      </c>
    </row>
    <row r="108" spans="2:8" ht="47.25" x14ac:dyDescent="0.25">
      <c r="B108" s="8" t="s">
        <v>285</v>
      </c>
      <c r="C108" s="8" t="s">
        <v>458</v>
      </c>
      <c r="D108" s="8" t="s">
        <v>459</v>
      </c>
      <c r="E108" s="8" t="s">
        <v>232</v>
      </c>
      <c r="F108" s="8">
        <v>1</v>
      </c>
      <c r="G108" s="44">
        <f>'ANÁLISE DOS PREÇOS COLETADOS'!AD137</f>
        <v>140</v>
      </c>
      <c r="H108" s="19">
        <f t="shared" si="5"/>
        <v>140</v>
      </c>
    </row>
    <row r="109" spans="2:8" ht="94.5" x14ac:dyDescent="0.25">
      <c r="B109" s="8" t="s">
        <v>460</v>
      </c>
      <c r="C109" s="8" t="s">
        <v>273</v>
      </c>
      <c r="D109" s="8" t="s">
        <v>274</v>
      </c>
      <c r="E109" s="8" t="s">
        <v>244</v>
      </c>
      <c r="F109" s="8">
        <v>1</v>
      </c>
      <c r="G109" s="44">
        <f>'ANÁLISE DOS PREÇOS COLETADOS'!AD138</f>
        <v>150</v>
      </c>
      <c r="H109" s="19">
        <f t="shared" si="5"/>
        <v>150</v>
      </c>
    </row>
    <row r="110" spans="2:8" ht="47.25" x14ac:dyDescent="0.25">
      <c r="B110" s="8" t="s">
        <v>461</v>
      </c>
      <c r="C110" s="8" t="s">
        <v>462</v>
      </c>
      <c r="D110" s="8" t="s">
        <v>463</v>
      </c>
      <c r="E110" s="8" t="s">
        <v>244</v>
      </c>
      <c r="F110" s="8">
        <v>1</v>
      </c>
      <c r="G110" s="44">
        <f>'ANÁLISE DOS PREÇOS COLETADOS'!AD139</f>
        <v>133.33333333333334</v>
      </c>
      <c r="H110" s="19">
        <f t="shared" si="5"/>
        <v>133.33333333333334</v>
      </c>
    </row>
    <row r="111" spans="2:8" ht="47.25" x14ac:dyDescent="0.25">
      <c r="B111" s="8" t="s">
        <v>464</v>
      </c>
      <c r="C111" s="8" t="s">
        <v>276</v>
      </c>
      <c r="D111" s="8" t="s">
        <v>277</v>
      </c>
      <c r="E111" s="8" t="s">
        <v>244</v>
      </c>
      <c r="F111" s="8">
        <v>1</v>
      </c>
      <c r="G111" s="44">
        <f>'ANÁLISE DOS PREÇOS COLETADOS'!AD140</f>
        <v>105</v>
      </c>
      <c r="H111" s="19">
        <f t="shared" si="5"/>
        <v>105</v>
      </c>
    </row>
    <row r="112" spans="2:8" ht="47.25" x14ac:dyDescent="0.25">
      <c r="B112" s="8" t="s">
        <v>465</v>
      </c>
      <c r="C112" s="8" t="s">
        <v>466</v>
      </c>
      <c r="D112" s="8" t="s">
        <v>467</v>
      </c>
      <c r="E112" s="8" t="s">
        <v>154</v>
      </c>
      <c r="F112" s="8">
        <v>2</v>
      </c>
      <c r="G112" s="44">
        <f>'ANÁLISE DOS PREÇOS COLETADOS'!AD142</f>
        <v>156.58333333333331</v>
      </c>
      <c r="H112" s="19">
        <f t="shared" si="5"/>
        <v>313.16666666666663</v>
      </c>
    </row>
    <row r="113" spans="2:8" ht="15.75" x14ac:dyDescent="0.25">
      <c r="B113" s="84" t="s">
        <v>402</v>
      </c>
      <c r="C113" s="84"/>
      <c r="D113" s="84"/>
      <c r="E113" s="84"/>
      <c r="F113" s="84"/>
      <c r="G113" s="80">
        <f>SUM(H85:H112)</f>
        <v>4639.75</v>
      </c>
      <c r="H113" s="81"/>
    </row>
    <row r="114" spans="2:8" ht="15.75" customHeight="1" x14ac:dyDescent="0.25">
      <c r="B114" s="119" t="s">
        <v>288</v>
      </c>
      <c r="C114" s="120"/>
      <c r="D114" s="120"/>
      <c r="E114" s="120"/>
      <c r="F114" s="120"/>
      <c r="G114" s="120"/>
      <c r="H114" s="121"/>
    </row>
    <row r="115" spans="2:8" ht="54" customHeight="1" x14ac:dyDescent="0.25">
      <c r="B115" s="11" t="s">
        <v>1</v>
      </c>
      <c r="C115" s="11" t="s">
        <v>2</v>
      </c>
      <c r="D115" s="11" t="s">
        <v>3</v>
      </c>
      <c r="E115" s="11" t="s">
        <v>396</v>
      </c>
      <c r="F115" s="11" t="s">
        <v>4</v>
      </c>
      <c r="G115" s="47" t="s">
        <v>759</v>
      </c>
      <c r="H115" s="47" t="s">
        <v>767</v>
      </c>
    </row>
    <row r="116" spans="2:8" ht="47.25" x14ac:dyDescent="0.25">
      <c r="B116" s="8" t="s">
        <v>289</v>
      </c>
      <c r="C116" s="8" t="s">
        <v>468</v>
      </c>
      <c r="D116" s="8" t="s">
        <v>469</v>
      </c>
      <c r="E116" s="8" t="s">
        <v>470</v>
      </c>
      <c r="F116" s="8">
        <v>250</v>
      </c>
      <c r="G116" s="44">
        <f>'ANÁLISE DOS PREÇOS COLETADOS'!AD145</f>
        <v>4.9350000000000005</v>
      </c>
      <c r="H116" s="44">
        <f>G116*F116</f>
        <v>1233.7500000000002</v>
      </c>
    </row>
    <row r="117" spans="2:8" ht="47.25" x14ac:dyDescent="0.25">
      <c r="B117" s="8" t="s">
        <v>292</v>
      </c>
      <c r="C117" s="8" t="s">
        <v>471</v>
      </c>
      <c r="D117" s="8" t="s">
        <v>472</v>
      </c>
      <c r="E117" s="8" t="s">
        <v>470</v>
      </c>
      <c r="F117" s="8">
        <v>250</v>
      </c>
      <c r="G117" s="44">
        <f>'ANÁLISE DOS PREÇOS COLETADOS'!AD146</f>
        <v>11.185</v>
      </c>
      <c r="H117" s="44">
        <f t="shared" ref="H117:H180" si="6">G117*F117</f>
        <v>2796.25</v>
      </c>
    </row>
    <row r="118" spans="2:8" ht="78.75" x14ac:dyDescent="0.25">
      <c r="B118" s="8" t="s">
        <v>295</v>
      </c>
      <c r="C118" s="8" t="s">
        <v>473</v>
      </c>
      <c r="D118" s="8" t="s">
        <v>474</v>
      </c>
      <c r="E118" s="35" t="s">
        <v>782</v>
      </c>
      <c r="F118" s="8">
        <v>50</v>
      </c>
      <c r="G118" s="44">
        <f>'ANÁLISE DOS PREÇOS COLETADOS'!AD147</f>
        <v>210</v>
      </c>
      <c r="H118" s="19">
        <f>G118*F118</f>
        <v>10500</v>
      </c>
    </row>
    <row r="119" spans="2:8" ht="15.75" customHeight="1" x14ac:dyDescent="0.25">
      <c r="B119" s="8" t="s">
        <v>298</v>
      </c>
      <c r="C119" s="8" t="s">
        <v>476</v>
      </c>
      <c r="D119" s="8" t="s">
        <v>477</v>
      </c>
      <c r="E119" s="8" t="s">
        <v>70</v>
      </c>
      <c r="F119" s="8">
        <v>2</v>
      </c>
      <c r="G119" s="44">
        <f>'ANÁLISE DOS PREÇOS COLETADOS'!AD148</f>
        <v>265</v>
      </c>
      <c r="H119" s="44">
        <f t="shared" si="6"/>
        <v>530</v>
      </c>
    </row>
    <row r="120" spans="2:8" ht="31.5" x14ac:dyDescent="0.25">
      <c r="B120" s="8" t="s">
        <v>302</v>
      </c>
      <c r="C120" s="8" t="s">
        <v>476</v>
      </c>
      <c r="D120" s="8" t="s">
        <v>478</v>
      </c>
      <c r="E120" s="8" t="s">
        <v>70</v>
      </c>
      <c r="F120" s="8">
        <v>2</v>
      </c>
      <c r="G120" s="44">
        <f>'ANÁLISE DOS PREÇOS COLETADOS'!AD149</f>
        <v>132</v>
      </c>
      <c r="H120" s="44">
        <f t="shared" si="6"/>
        <v>264</v>
      </c>
    </row>
    <row r="121" spans="2:8" ht="31.5" x14ac:dyDescent="0.25">
      <c r="B121" s="8" t="s">
        <v>305</v>
      </c>
      <c r="C121" s="8" t="s">
        <v>479</v>
      </c>
      <c r="D121" s="8" t="s">
        <v>480</v>
      </c>
      <c r="E121" s="8" t="s">
        <v>481</v>
      </c>
      <c r="F121" s="8">
        <v>10</v>
      </c>
      <c r="G121" s="44">
        <f>'ANÁLISE DOS PREÇOS COLETADOS'!AD150</f>
        <v>70</v>
      </c>
      <c r="H121" s="44">
        <f t="shared" si="6"/>
        <v>700</v>
      </c>
    </row>
    <row r="122" spans="2:8" ht="15.75" x14ac:dyDescent="0.25">
      <c r="B122" s="8" t="s">
        <v>309</v>
      </c>
      <c r="C122" s="8" t="s">
        <v>479</v>
      </c>
      <c r="D122" s="8" t="s">
        <v>482</v>
      </c>
      <c r="E122" s="8" t="s">
        <v>12</v>
      </c>
      <c r="F122" s="8">
        <v>10</v>
      </c>
      <c r="G122" s="44">
        <f>'ANÁLISE DOS PREÇOS COLETADOS'!AD151</f>
        <v>262.5</v>
      </c>
      <c r="H122" s="44">
        <f t="shared" si="6"/>
        <v>2625</v>
      </c>
    </row>
    <row r="123" spans="2:8" ht="31.5" x14ac:dyDescent="0.25">
      <c r="B123" s="8" t="s">
        <v>312</v>
      </c>
      <c r="C123" s="8" t="s">
        <v>483</v>
      </c>
      <c r="D123" s="8" t="s">
        <v>484</v>
      </c>
      <c r="E123" s="8" t="s">
        <v>70</v>
      </c>
      <c r="F123" s="8">
        <v>2</v>
      </c>
      <c r="G123" s="44">
        <f>'ANÁLISE DOS PREÇOS COLETADOS'!AD153</f>
        <v>550</v>
      </c>
      <c r="H123" s="44">
        <f t="shared" si="6"/>
        <v>1100</v>
      </c>
    </row>
    <row r="124" spans="2:8" ht="78.75" x14ac:dyDescent="0.25">
      <c r="B124" s="8" t="s">
        <v>315</v>
      </c>
      <c r="C124" s="8" t="s">
        <v>485</v>
      </c>
      <c r="D124" s="8" t="s">
        <v>486</v>
      </c>
      <c r="E124" s="8" t="s">
        <v>70</v>
      </c>
      <c r="F124" s="8">
        <v>2</v>
      </c>
      <c r="G124" s="44">
        <f>'ANÁLISE DOS PREÇOS COLETADOS'!AD154</f>
        <v>250</v>
      </c>
      <c r="H124" s="44">
        <f t="shared" si="6"/>
        <v>500</v>
      </c>
    </row>
    <row r="125" spans="2:8" ht="47.25" x14ac:dyDescent="0.25">
      <c r="B125" s="8" t="s">
        <v>318</v>
      </c>
      <c r="C125" s="8" t="s">
        <v>293</v>
      </c>
      <c r="D125" s="8" t="s">
        <v>294</v>
      </c>
      <c r="E125" s="8" t="s">
        <v>70</v>
      </c>
      <c r="F125" s="8">
        <v>5</v>
      </c>
      <c r="G125" s="44">
        <f>'ANÁLISE DOS PREÇOS COLETADOS'!AD155</f>
        <v>159.07499999999999</v>
      </c>
      <c r="H125" s="44">
        <f t="shared" si="6"/>
        <v>795.375</v>
      </c>
    </row>
    <row r="126" spans="2:8" ht="31.5" x14ac:dyDescent="0.25">
      <c r="B126" s="8" t="s">
        <v>321</v>
      </c>
      <c r="C126" s="8" t="s">
        <v>487</v>
      </c>
      <c r="D126" s="8" t="s">
        <v>488</v>
      </c>
      <c r="E126" s="8" t="s">
        <v>70</v>
      </c>
      <c r="F126" s="8">
        <v>2</v>
      </c>
      <c r="G126" s="44">
        <f>'ANÁLISE DOS PREÇOS COLETADOS'!AD156</f>
        <v>120</v>
      </c>
      <c r="H126" s="44">
        <f t="shared" si="6"/>
        <v>240</v>
      </c>
    </row>
    <row r="127" spans="2:8" ht="63" x14ac:dyDescent="0.25">
      <c r="B127" s="8" t="s">
        <v>324</v>
      </c>
      <c r="C127" s="8" t="s">
        <v>296</v>
      </c>
      <c r="D127" s="8" t="s">
        <v>489</v>
      </c>
      <c r="E127" s="8" t="s">
        <v>490</v>
      </c>
      <c r="F127" s="8">
        <v>28</v>
      </c>
      <c r="G127" s="44">
        <f>'ANÁLISE DOS PREÇOS COLETADOS'!AD157</f>
        <v>10</v>
      </c>
      <c r="H127" s="44">
        <f t="shared" si="6"/>
        <v>280</v>
      </c>
    </row>
    <row r="128" spans="2:8" ht="94.5" customHeight="1" x14ac:dyDescent="0.25">
      <c r="B128" s="8" t="s">
        <v>327</v>
      </c>
      <c r="C128" s="8" t="s">
        <v>491</v>
      </c>
      <c r="D128" s="8" t="s">
        <v>492</v>
      </c>
      <c r="E128" s="8" t="s">
        <v>70</v>
      </c>
      <c r="F128" s="8">
        <v>6</v>
      </c>
      <c r="G128" s="44">
        <f>'ANÁLISE DOS PREÇOS COLETADOS'!AD159</f>
        <v>90</v>
      </c>
      <c r="H128" s="44">
        <f t="shared" si="6"/>
        <v>540</v>
      </c>
    </row>
    <row r="129" spans="2:8" ht="204.75" x14ac:dyDescent="0.25">
      <c r="B129" s="8" t="s">
        <v>330</v>
      </c>
      <c r="C129" s="8" t="s">
        <v>493</v>
      </c>
      <c r="D129" s="8" t="s">
        <v>628</v>
      </c>
      <c r="E129" s="8" t="s">
        <v>70</v>
      </c>
      <c r="F129" s="8">
        <v>2</v>
      </c>
      <c r="G129" s="44">
        <f>'ANÁLISE DOS PREÇOS COLETADOS'!AD160</f>
        <v>332.5</v>
      </c>
      <c r="H129" s="44">
        <f t="shared" si="6"/>
        <v>665</v>
      </c>
    </row>
    <row r="130" spans="2:8" ht="157.5" x14ac:dyDescent="0.25">
      <c r="B130" s="8" t="s">
        <v>333</v>
      </c>
      <c r="C130" s="8" t="s">
        <v>299</v>
      </c>
      <c r="D130" s="8" t="s">
        <v>300</v>
      </c>
      <c r="E130" s="8" t="s">
        <v>357</v>
      </c>
      <c r="F130" s="8">
        <v>4.32</v>
      </c>
      <c r="G130" s="44">
        <f>'ANÁLISE DOS PREÇOS COLETADOS'!AD161</f>
        <v>50</v>
      </c>
      <c r="H130" s="44">
        <f t="shared" si="6"/>
        <v>216</v>
      </c>
    </row>
    <row r="131" spans="2:8" ht="31.5" x14ac:dyDescent="0.25">
      <c r="B131" s="8" t="s">
        <v>336</v>
      </c>
      <c r="C131" s="8" t="s">
        <v>303</v>
      </c>
      <c r="D131" s="8" t="s">
        <v>494</v>
      </c>
      <c r="E131" s="8" t="s">
        <v>70</v>
      </c>
      <c r="F131" s="8">
        <v>5</v>
      </c>
      <c r="G131" s="44">
        <f>'ANÁLISE DOS PREÇOS COLETADOS'!AD162</f>
        <v>12</v>
      </c>
      <c r="H131" s="44">
        <f t="shared" si="6"/>
        <v>60</v>
      </c>
    </row>
    <row r="132" spans="2:8" ht="94.5" x14ac:dyDescent="0.25">
      <c r="B132" s="8" t="s">
        <v>339</v>
      </c>
      <c r="C132" s="8" t="s">
        <v>495</v>
      </c>
      <c r="D132" s="8" t="s">
        <v>496</v>
      </c>
      <c r="E132" s="8" t="s">
        <v>70</v>
      </c>
      <c r="F132" s="8">
        <v>10</v>
      </c>
      <c r="G132" s="44">
        <f>'ANÁLISE DOS PREÇOS COLETADOS'!AD165</f>
        <v>26.666666666666668</v>
      </c>
      <c r="H132" s="44">
        <f t="shared" si="6"/>
        <v>266.66666666666669</v>
      </c>
    </row>
    <row r="133" spans="2:8" ht="94.5" x14ac:dyDescent="0.25">
      <c r="B133" s="8" t="s">
        <v>342</v>
      </c>
      <c r="C133" s="8" t="s">
        <v>497</v>
      </c>
      <c r="D133" s="8" t="s">
        <v>498</v>
      </c>
      <c r="E133" s="8" t="s">
        <v>490</v>
      </c>
      <c r="F133" s="8">
        <v>2</v>
      </c>
      <c r="G133" s="44">
        <f>'ANÁLISE DOS PREÇOS COLETADOS'!AD166</f>
        <v>425</v>
      </c>
      <c r="H133" s="44">
        <f t="shared" si="6"/>
        <v>850</v>
      </c>
    </row>
    <row r="134" spans="2:8" ht="31.5" x14ac:dyDescent="0.25">
      <c r="B134" s="8" t="s">
        <v>345</v>
      </c>
      <c r="C134" s="8" t="s">
        <v>377</v>
      </c>
      <c r="D134" s="8" t="s">
        <v>378</v>
      </c>
      <c r="E134" s="8" t="s">
        <v>70</v>
      </c>
      <c r="F134" s="8">
        <v>75</v>
      </c>
      <c r="G134" s="44">
        <f>'ANÁLISE DOS PREÇOS COLETADOS'!AD167</f>
        <v>21.740000000000002</v>
      </c>
      <c r="H134" s="44">
        <f t="shared" si="6"/>
        <v>1630.5000000000002</v>
      </c>
    </row>
    <row r="135" spans="2:8" ht="31.5" x14ac:dyDescent="0.25">
      <c r="B135" s="8" t="s">
        <v>348</v>
      </c>
      <c r="C135" s="8" t="s">
        <v>306</v>
      </c>
      <c r="D135" s="8" t="s">
        <v>307</v>
      </c>
      <c r="E135" s="8" t="s">
        <v>499</v>
      </c>
      <c r="F135" s="8">
        <v>24</v>
      </c>
      <c r="G135" s="44">
        <f>'ANÁLISE DOS PREÇOS COLETADOS'!AD168</f>
        <v>21.42</v>
      </c>
      <c r="H135" s="44">
        <f t="shared" si="6"/>
        <v>514.08000000000004</v>
      </c>
    </row>
    <row r="136" spans="2:8" ht="15.75" x14ac:dyDescent="0.25">
      <c r="B136" s="8" t="s">
        <v>351</v>
      </c>
      <c r="C136" s="8" t="s">
        <v>500</v>
      </c>
      <c r="D136" s="8" t="s">
        <v>501</v>
      </c>
      <c r="E136" s="8" t="s">
        <v>12</v>
      </c>
      <c r="F136" s="8">
        <v>10</v>
      </c>
      <c r="G136" s="44">
        <f>'ANÁLISE DOS PREÇOS COLETADOS'!AD169</f>
        <v>84</v>
      </c>
      <c r="H136" s="44">
        <f t="shared" si="6"/>
        <v>840</v>
      </c>
    </row>
    <row r="137" spans="2:8" ht="31.5" x14ac:dyDescent="0.25">
      <c r="B137" s="8" t="s">
        <v>354</v>
      </c>
      <c r="C137" s="8" t="s">
        <v>502</v>
      </c>
      <c r="D137" s="8" t="s">
        <v>503</v>
      </c>
      <c r="E137" s="8" t="s">
        <v>70</v>
      </c>
      <c r="F137" s="8">
        <v>130</v>
      </c>
      <c r="G137" s="44">
        <f>'ANÁLISE DOS PREÇOS COLETADOS'!AD170</f>
        <v>6</v>
      </c>
      <c r="H137" s="44">
        <f t="shared" si="6"/>
        <v>780</v>
      </c>
    </row>
    <row r="138" spans="2:8" ht="31.5" x14ac:dyDescent="0.25">
      <c r="B138" s="8" t="s">
        <v>358</v>
      </c>
      <c r="C138" s="8" t="s">
        <v>313</v>
      </c>
      <c r="D138" s="8" t="s">
        <v>314</v>
      </c>
      <c r="E138" s="8" t="s">
        <v>70</v>
      </c>
      <c r="F138" s="8">
        <v>10</v>
      </c>
      <c r="G138" s="44">
        <f>'ANÁLISE DOS PREÇOS COLETADOS'!AD171</f>
        <v>8.6</v>
      </c>
      <c r="H138" s="44">
        <f t="shared" si="6"/>
        <v>86</v>
      </c>
    </row>
    <row r="139" spans="2:8" ht="78.75" x14ac:dyDescent="0.25">
      <c r="B139" s="8" t="s">
        <v>362</v>
      </c>
      <c r="C139" s="8" t="s">
        <v>504</v>
      </c>
      <c r="D139" s="8" t="s">
        <v>505</v>
      </c>
      <c r="E139" s="8" t="s">
        <v>70</v>
      </c>
      <c r="F139" s="8">
        <v>4</v>
      </c>
      <c r="G139" s="44">
        <f>'ANÁLISE DOS PREÇOS COLETADOS'!AD175</f>
        <v>50</v>
      </c>
      <c r="H139" s="44">
        <f t="shared" si="6"/>
        <v>200</v>
      </c>
    </row>
    <row r="140" spans="2:8" ht="78.75" x14ac:dyDescent="0.25">
      <c r="B140" s="8" t="s">
        <v>365</v>
      </c>
      <c r="C140" s="8" t="s">
        <v>506</v>
      </c>
      <c r="D140" s="8" t="s">
        <v>507</v>
      </c>
      <c r="E140" s="8" t="s">
        <v>116</v>
      </c>
      <c r="F140" s="8">
        <v>1</v>
      </c>
      <c r="G140" s="44">
        <f>'ANÁLISE DOS PREÇOS COLETADOS'!AD176</f>
        <v>1200</v>
      </c>
      <c r="H140" s="44">
        <f t="shared" si="6"/>
        <v>1200</v>
      </c>
    </row>
    <row r="141" spans="2:8" ht="63" x14ac:dyDescent="0.25">
      <c r="B141" s="8" t="s">
        <v>368</v>
      </c>
      <c r="C141" s="8" t="s">
        <v>508</v>
      </c>
      <c r="D141" s="8" t="s">
        <v>509</v>
      </c>
      <c r="E141" s="8" t="s">
        <v>510</v>
      </c>
      <c r="F141" s="8">
        <v>120</v>
      </c>
      <c r="G141" s="44">
        <f>'ANÁLISE DOS PREÇOS COLETADOS'!AD177</f>
        <v>12</v>
      </c>
      <c r="H141" s="44">
        <f t="shared" si="6"/>
        <v>1440</v>
      </c>
    </row>
    <row r="142" spans="2:8" ht="173.25" x14ac:dyDescent="0.25">
      <c r="B142" s="8" t="s">
        <v>372</v>
      </c>
      <c r="C142" s="8" t="s">
        <v>511</v>
      </c>
      <c r="D142" s="8" t="s">
        <v>512</v>
      </c>
      <c r="E142" s="8" t="s">
        <v>70</v>
      </c>
      <c r="F142" s="8">
        <v>3</v>
      </c>
      <c r="G142" s="44">
        <f>'ANÁLISE DOS PREÇOS COLETADOS'!AD178</f>
        <v>112</v>
      </c>
      <c r="H142" s="44">
        <f t="shared" si="6"/>
        <v>336</v>
      </c>
    </row>
    <row r="143" spans="2:8" ht="47.25" x14ac:dyDescent="0.25">
      <c r="B143" s="8" t="s">
        <v>513</v>
      </c>
      <c r="C143" s="8" t="s">
        <v>514</v>
      </c>
      <c r="D143" s="8" t="s">
        <v>515</v>
      </c>
      <c r="E143" s="8" t="s">
        <v>357</v>
      </c>
      <c r="F143" s="8">
        <v>40</v>
      </c>
      <c r="G143" s="44">
        <f>'ANÁLISE DOS PREÇOS COLETADOS'!AD179</f>
        <v>300</v>
      </c>
      <c r="H143" s="44">
        <f t="shared" si="6"/>
        <v>12000</v>
      </c>
    </row>
    <row r="144" spans="2:8" ht="236.25" x14ac:dyDescent="0.25">
      <c r="B144" s="8" t="s">
        <v>516</v>
      </c>
      <c r="C144" s="8" t="s">
        <v>319</v>
      </c>
      <c r="D144" s="8" t="s">
        <v>320</v>
      </c>
      <c r="E144" s="8" t="s">
        <v>224</v>
      </c>
      <c r="F144" s="8">
        <v>70</v>
      </c>
      <c r="G144" s="44">
        <f>'ANÁLISE DOS PREÇOS COLETADOS'!AD180</f>
        <v>58.36</v>
      </c>
      <c r="H144" s="44">
        <f t="shared" si="6"/>
        <v>4085.2</v>
      </c>
    </row>
    <row r="145" spans="2:8" ht="47.25" x14ac:dyDescent="0.25">
      <c r="B145" s="8" t="s">
        <v>517</v>
      </c>
      <c r="C145" s="8" t="s">
        <v>518</v>
      </c>
      <c r="D145" s="8" t="s">
        <v>519</v>
      </c>
      <c r="E145" s="8" t="s">
        <v>357</v>
      </c>
      <c r="F145" s="8">
        <v>1</v>
      </c>
      <c r="G145" s="44">
        <f>'ANÁLISE DOS PREÇOS COLETADOS'!AD183</f>
        <v>120</v>
      </c>
      <c r="H145" s="44">
        <f t="shared" si="6"/>
        <v>120</v>
      </c>
    </row>
    <row r="146" spans="2:8" ht="31.5" x14ac:dyDescent="0.25">
      <c r="B146" s="8" t="s">
        <v>520</v>
      </c>
      <c r="C146" s="8" t="s">
        <v>521</v>
      </c>
      <c r="D146" s="8" t="s">
        <v>522</v>
      </c>
      <c r="E146" s="8" t="s">
        <v>12</v>
      </c>
      <c r="F146" s="8">
        <v>2</v>
      </c>
      <c r="G146" s="44">
        <f>'ANÁLISE DOS PREÇOS COLETADOS'!AD184</f>
        <v>90</v>
      </c>
      <c r="H146" s="44">
        <f t="shared" si="6"/>
        <v>180</v>
      </c>
    </row>
    <row r="147" spans="2:8" ht="31.5" x14ac:dyDescent="0.25">
      <c r="B147" s="8" t="s">
        <v>523</v>
      </c>
      <c r="C147" s="8" t="s">
        <v>524</v>
      </c>
      <c r="D147" s="8" t="s">
        <v>525</v>
      </c>
      <c r="E147" s="8" t="s">
        <v>357</v>
      </c>
      <c r="F147" s="8">
        <v>80</v>
      </c>
      <c r="G147" s="44">
        <f>'ANÁLISE DOS PREÇOS COLETADOS'!AD185</f>
        <v>20.5</v>
      </c>
      <c r="H147" s="44">
        <f t="shared" si="6"/>
        <v>1640</v>
      </c>
    </row>
    <row r="148" spans="2:8" ht="63" x14ac:dyDescent="0.25">
      <c r="B148" s="8" t="s">
        <v>526</v>
      </c>
      <c r="C148" s="8" t="s">
        <v>325</v>
      </c>
      <c r="D148" s="8" t="s">
        <v>326</v>
      </c>
      <c r="E148" s="8" t="s">
        <v>70</v>
      </c>
      <c r="F148" s="8">
        <v>4</v>
      </c>
      <c r="G148" s="44">
        <f>'ANÁLISE DOS PREÇOS COLETADOS'!AD186</f>
        <v>12.5</v>
      </c>
      <c r="H148" s="44">
        <f t="shared" si="6"/>
        <v>50</v>
      </c>
    </row>
    <row r="149" spans="2:8" ht="63" x14ac:dyDescent="0.25">
      <c r="B149" s="8" t="s">
        <v>527</v>
      </c>
      <c r="C149" s="8" t="s">
        <v>528</v>
      </c>
      <c r="D149" s="8" t="s">
        <v>529</v>
      </c>
      <c r="E149" s="8" t="s">
        <v>70</v>
      </c>
      <c r="F149" s="8">
        <v>2</v>
      </c>
      <c r="G149" s="44">
        <f>'ANÁLISE DOS PREÇOS COLETADOS'!AD187</f>
        <v>95</v>
      </c>
      <c r="H149" s="44">
        <f t="shared" si="6"/>
        <v>190</v>
      </c>
    </row>
    <row r="150" spans="2:8" ht="15.75" x14ac:dyDescent="0.25">
      <c r="B150" s="8" t="s">
        <v>530</v>
      </c>
      <c r="C150" s="8" t="s">
        <v>531</v>
      </c>
      <c r="D150" s="8" t="s">
        <v>532</v>
      </c>
      <c r="E150" s="8" t="s">
        <v>357</v>
      </c>
      <c r="F150" s="8">
        <v>80</v>
      </c>
      <c r="G150" s="44">
        <f>'ANÁLISE DOS PREÇOS COLETADOS'!AD188</f>
        <v>55</v>
      </c>
      <c r="H150" s="44">
        <f t="shared" si="6"/>
        <v>4400</v>
      </c>
    </row>
    <row r="151" spans="2:8" ht="47.25" x14ac:dyDescent="0.25">
      <c r="B151" s="8" t="s">
        <v>533</v>
      </c>
      <c r="C151" s="8" t="s">
        <v>346</v>
      </c>
      <c r="D151" s="8" t="s">
        <v>347</v>
      </c>
      <c r="E151" s="8" t="s">
        <v>70</v>
      </c>
      <c r="F151" s="8">
        <v>6</v>
      </c>
      <c r="G151" s="44">
        <f>'ANÁLISE DOS PREÇOS COLETADOS'!AD189</f>
        <v>20</v>
      </c>
      <c r="H151" s="44">
        <f t="shared" si="6"/>
        <v>120</v>
      </c>
    </row>
    <row r="152" spans="2:8" ht="47.25" x14ac:dyDescent="0.25">
      <c r="B152" s="8" t="s">
        <v>534</v>
      </c>
      <c r="C152" s="8" t="s">
        <v>331</v>
      </c>
      <c r="D152" s="8" t="s">
        <v>332</v>
      </c>
      <c r="E152" s="8" t="s">
        <v>70</v>
      </c>
      <c r="F152" s="8">
        <v>5</v>
      </c>
      <c r="G152" s="44">
        <f>'ANÁLISE DOS PREÇOS COLETADOS'!AD190</f>
        <v>90</v>
      </c>
      <c r="H152" s="44">
        <f t="shared" si="6"/>
        <v>450</v>
      </c>
    </row>
    <row r="153" spans="2:8" ht="47.25" x14ac:dyDescent="0.25">
      <c r="B153" s="8" t="s">
        <v>535</v>
      </c>
      <c r="C153" s="8" t="s">
        <v>536</v>
      </c>
      <c r="D153" s="8" t="s">
        <v>537</v>
      </c>
      <c r="E153" s="8" t="s">
        <v>70</v>
      </c>
      <c r="F153" s="8">
        <v>1</v>
      </c>
      <c r="G153" s="44">
        <f>'ANÁLISE DOS PREÇOS COLETADOS'!AD191</f>
        <v>105</v>
      </c>
      <c r="H153" s="44">
        <f t="shared" si="6"/>
        <v>105</v>
      </c>
    </row>
    <row r="154" spans="2:8" ht="31.5" x14ac:dyDescent="0.25">
      <c r="B154" s="8" t="s">
        <v>538</v>
      </c>
      <c r="C154" s="8" t="s">
        <v>334</v>
      </c>
      <c r="D154" s="8" t="s">
        <v>335</v>
      </c>
      <c r="E154" s="8" t="s">
        <v>70</v>
      </c>
      <c r="F154" s="8">
        <v>1</v>
      </c>
      <c r="G154" s="44">
        <f>'ANÁLISE DOS PREÇOS COLETADOS'!AD192</f>
        <v>75.88666666666667</v>
      </c>
      <c r="H154" s="44">
        <f t="shared" si="6"/>
        <v>75.88666666666667</v>
      </c>
    </row>
    <row r="155" spans="2:8" ht="47.25" x14ac:dyDescent="0.25">
      <c r="B155" s="8" t="s">
        <v>539</v>
      </c>
      <c r="C155" s="8" t="s">
        <v>337</v>
      </c>
      <c r="D155" s="8" t="s">
        <v>540</v>
      </c>
      <c r="E155" s="8" t="s">
        <v>70</v>
      </c>
      <c r="F155" s="8">
        <v>4</v>
      </c>
      <c r="G155" s="44">
        <f>'ANÁLISE DOS PREÇOS COLETADOS'!AD193</f>
        <v>20</v>
      </c>
      <c r="H155" s="44">
        <f t="shared" si="6"/>
        <v>80</v>
      </c>
    </row>
    <row r="156" spans="2:8" ht="47.25" x14ac:dyDescent="0.25">
      <c r="B156" s="8" t="s">
        <v>541</v>
      </c>
      <c r="C156" s="8" t="s">
        <v>340</v>
      </c>
      <c r="D156" s="8" t="s">
        <v>542</v>
      </c>
      <c r="E156" s="8" t="s">
        <v>70</v>
      </c>
      <c r="F156" s="8">
        <v>1</v>
      </c>
      <c r="G156" s="44">
        <f>'ANÁLISE DOS PREÇOS COLETADOS'!AD194</f>
        <v>51</v>
      </c>
      <c r="H156" s="44">
        <f t="shared" si="6"/>
        <v>51</v>
      </c>
    </row>
    <row r="157" spans="2:8" ht="78.75" x14ac:dyDescent="0.25">
      <c r="B157" s="8" t="s">
        <v>543</v>
      </c>
      <c r="C157" s="8" t="s">
        <v>544</v>
      </c>
      <c r="D157" s="8" t="s">
        <v>545</v>
      </c>
      <c r="E157" s="8" t="s">
        <v>357</v>
      </c>
      <c r="F157" s="8">
        <v>24</v>
      </c>
      <c r="G157" s="44">
        <f>'ANÁLISE DOS PREÇOS COLETADOS'!AD197</f>
        <v>30</v>
      </c>
      <c r="H157" s="44">
        <f t="shared" si="6"/>
        <v>720</v>
      </c>
    </row>
    <row r="158" spans="2:8" ht="31.5" x14ac:dyDescent="0.25">
      <c r="B158" s="8" t="s">
        <v>546</v>
      </c>
      <c r="C158" s="8" t="s">
        <v>349</v>
      </c>
      <c r="D158" s="8" t="s">
        <v>350</v>
      </c>
      <c r="E158" s="8" t="s">
        <v>301</v>
      </c>
      <c r="F158" s="8">
        <v>8</v>
      </c>
      <c r="G158" s="44">
        <f>'ANÁLISE DOS PREÇOS COLETADOS'!AD198</f>
        <v>20</v>
      </c>
      <c r="H158" s="44">
        <f t="shared" si="6"/>
        <v>160</v>
      </c>
    </row>
    <row r="159" spans="2:8" ht="31.5" x14ac:dyDescent="0.25">
      <c r="B159" s="8" t="s">
        <v>547</v>
      </c>
      <c r="C159" s="8" t="s">
        <v>352</v>
      </c>
      <c r="D159" s="8" t="s">
        <v>548</v>
      </c>
      <c r="E159" s="8" t="s">
        <v>12</v>
      </c>
      <c r="F159" s="8">
        <v>1</v>
      </c>
      <c r="G159" s="44">
        <f>'ANÁLISE DOS PREÇOS COLETADOS'!AD199</f>
        <v>44</v>
      </c>
      <c r="H159" s="44">
        <f t="shared" si="6"/>
        <v>44</v>
      </c>
    </row>
    <row r="160" spans="2:8" ht="173.25" x14ac:dyDescent="0.25">
      <c r="B160" s="8" t="s">
        <v>549</v>
      </c>
      <c r="C160" s="8" t="s">
        <v>550</v>
      </c>
      <c r="D160" s="8" t="s">
        <v>551</v>
      </c>
      <c r="E160" s="8" t="s">
        <v>12</v>
      </c>
      <c r="F160" s="8">
        <v>1</v>
      </c>
      <c r="G160" s="44">
        <f>'ANÁLISE DOS PREÇOS COLETADOS'!AD200</f>
        <v>145</v>
      </c>
      <c r="H160" s="44">
        <f t="shared" si="6"/>
        <v>145</v>
      </c>
    </row>
    <row r="161" spans="2:8" ht="31.5" x14ac:dyDescent="0.25">
      <c r="B161" s="8" t="s">
        <v>552</v>
      </c>
      <c r="C161" s="8" t="s">
        <v>355</v>
      </c>
      <c r="D161" s="8" t="s">
        <v>356</v>
      </c>
      <c r="E161" s="8" t="s">
        <v>181</v>
      </c>
      <c r="F161" s="8">
        <v>3.24</v>
      </c>
      <c r="G161" s="44">
        <f>'ANÁLISE DOS PREÇOS COLETADOS'!AD241</f>
        <v>8</v>
      </c>
      <c r="H161" s="44">
        <f t="shared" si="6"/>
        <v>25.92</v>
      </c>
    </row>
    <row r="162" spans="2:8" ht="110.25" x14ac:dyDescent="0.25">
      <c r="B162" s="8" t="s">
        <v>553</v>
      </c>
      <c r="C162" s="8" t="s">
        <v>554</v>
      </c>
      <c r="D162" s="8" t="s">
        <v>555</v>
      </c>
      <c r="E162" s="8" t="s">
        <v>357</v>
      </c>
      <c r="F162" s="8">
        <v>1.5</v>
      </c>
      <c r="G162" s="44">
        <f>'ANÁLISE DOS PREÇOS COLETADOS'!AD201</f>
        <v>160</v>
      </c>
      <c r="H162" s="44">
        <f t="shared" si="6"/>
        <v>240</v>
      </c>
    </row>
    <row r="163" spans="2:8" ht="63" x14ac:dyDescent="0.25">
      <c r="B163" s="8" t="s">
        <v>556</v>
      </c>
      <c r="C163" s="8" t="s">
        <v>557</v>
      </c>
      <c r="D163" s="8" t="s">
        <v>558</v>
      </c>
      <c r="E163" s="8" t="s">
        <v>70</v>
      </c>
      <c r="F163" s="8">
        <v>15</v>
      </c>
      <c r="G163" s="44">
        <f>'ANÁLISE DOS PREÇOS COLETADOS'!AD202</f>
        <v>55</v>
      </c>
      <c r="H163" s="44">
        <f t="shared" si="6"/>
        <v>825</v>
      </c>
    </row>
    <row r="164" spans="2:8" ht="78.75" x14ac:dyDescent="0.25">
      <c r="B164" s="8" t="s">
        <v>559</v>
      </c>
      <c r="C164" s="8" t="s">
        <v>560</v>
      </c>
      <c r="D164" s="8" t="s">
        <v>561</v>
      </c>
      <c r="E164" s="8" t="s">
        <v>116</v>
      </c>
      <c r="F164" s="8">
        <v>4</v>
      </c>
      <c r="G164" s="44">
        <f>'ANÁLISE DOS PREÇOS COLETADOS'!AD205</f>
        <v>350</v>
      </c>
      <c r="H164" s="44">
        <f t="shared" si="6"/>
        <v>1400</v>
      </c>
    </row>
    <row r="165" spans="2:8" ht="126" x14ac:dyDescent="0.25">
      <c r="B165" s="8" t="s">
        <v>562</v>
      </c>
      <c r="C165" s="8" t="s">
        <v>359</v>
      </c>
      <c r="D165" s="8" t="s">
        <v>563</v>
      </c>
      <c r="E165" s="8" t="s">
        <v>224</v>
      </c>
      <c r="F165" s="8">
        <v>50</v>
      </c>
      <c r="G165" s="44">
        <f>'ANÁLISE DOS PREÇOS COLETADOS'!AD206</f>
        <v>25.5</v>
      </c>
      <c r="H165" s="44">
        <f t="shared" si="6"/>
        <v>1275</v>
      </c>
    </row>
    <row r="166" spans="2:8" ht="31.5" x14ac:dyDescent="0.25">
      <c r="B166" s="8" t="s">
        <v>564</v>
      </c>
      <c r="C166" s="8" t="s">
        <v>565</v>
      </c>
      <c r="D166" s="8" t="s">
        <v>566</v>
      </c>
      <c r="E166" s="8" t="s">
        <v>70</v>
      </c>
      <c r="F166" s="8">
        <v>10</v>
      </c>
      <c r="G166" s="44">
        <f>'ANÁLISE DOS PREÇOS COLETADOS'!AD207</f>
        <v>6.62</v>
      </c>
      <c r="H166" s="44">
        <f t="shared" si="6"/>
        <v>66.2</v>
      </c>
    </row>
    <row r="167" spans="2:8" ht="47.25" x14ac:dyDescent="0.25">
      <c r="B167" s="8" t="s">
        <v>567</v>
      </c>
      <c r="C167" s="8" t="s">
        <v>363</v>
      </c>
      <c r="D167" s="8" t="s">
        <v>364</v>
      </c>
      <c r="E167" s="8" t="s">
        <v>70</v>
      </c>
      <c r="F167" s="8">
        <v>1</v>
      </c>
      <c r="G167" s="44">
        <f>'ANÁLISE DOS PREÇOS COLETADOS'!AD208</f>
        <v>40.032499999999999</v>
      </c>
      <c r="H167" s="44">
        <f t="shared" si="6"/>
        <v>40.032499999999999</v>
      </c>
    </row>
    <row r="168" spans="2:8" ht="15.75" customHeight="1" x14ac:dyDescent="0.25">
      <c r="B168" s="8" t="s">
        <v>568</v>
      </c>
      <c r="C168" s="8" t="s">
        <v>569</v>
      </c>
      <c r="D168" s="8" t="s">
        <v>570</v>
      </c>
      <c r="E168" s="8" t="s">
        <v>70</v>
      </c>
      <c r="F168" s="8">
        <v>4</v>
      </c>
      <c r="G168" s="44">
        <f>'ANÁLISE DOS PREÇOS COLETADOS'!AD211</f>
        <v>50</v>
      </c>
      <c r="H168" s="44">
        <f t="shared" si="6"/>
        <v>200</v>
      </c>
    </row>
    <row r="169" spans="2:8" ht="63" x14ac:dyDescent="0.25">
      <c r="B169" s="8" t="s">
        <v>571</v>
      </c>
      <c r="C169" s="8" t="s">
        <v>369</v>
      </c>
      <c r="D169" s="8" t="s">
        <v>370</v>
      </c>
      <c r="E169" s="8" t="s">
        <v>371</v>
      </c>
      <c r="F169" s="8">
        <v>6</v>
      </c>
      <c r="G169" s="44">
        <f>'ANÁLISE DOS PREÇOS COLETADOS'!AD213</f>
        <v>120</v>
      </c>
      <c r="H169" s="44">
        <f t="shared" si="6"/>
        <v>720</v>
      </c>
    </row>
    <row r="170" spans="2:8" ht="110.25" customHeight="1" x14ac:dyDescent="0.25">
      <c r="B170" s="8" t="s">
        <v>572</v>
      </c>
      <c r="C170" s="8" t="s">
        <v>573</v>
      </c>
      <c r="D170" s="8" t="s">
        <v>574</v>
      </c>
      <c r="E170" s="8" t="s">
        <v>70</v>
      </c>
      <c r="F170" s="8">
        <v>2</v>
      </c>
      <c r="G170" s="44">
        <f>'ANÁLISE DOS PREÇOS COLETADOS'!AD214</f>
        <v>450</v>
      </c>
      <c r="H170" s="44">
        <f t="shared" si="6"/>
        <v>900</v>
      </c>
    </row>
    <row r="171" spans="2:8" ht="47.25" x14ac:dyDescent="0.25">
      <c r="B171" s="8" t="s">
        <v>575</v>
      </c>
      <c r="C171" s="8" t="s">
        <v>576</v>
      </c>
      <c r="D171" s="8" t="s">
        <v>574</v>
      </c>
      <c r="E171" s="8" t="s">
        <v>70</v>
      </c>
      <c r="F171" s="8">
        <v>1</v>
      </c>
      <c r="G171" s="44">
        <f>'ANÁLISE DOS PREÇOS COLETADOS'!AD215</f>
        <v>624.75</v>
      </c>
      <c r="H171" s="44">
        <f t="shared" si="6"/>
        <v>624.75</v>
      </c>
    </row>
    <row r="172" spans="2:8" ht="47.25" x14ac:dyDescent="0.25">
      <c r="B172" s="8" t="s">
        <v>577</v>
      </c>
      <c r="C172" s="8" t="s">
        <v>578</v>
      </c>
      <c r="D172" s="8" t="s">
        <v>574</v>
      </c>
      <c r="E172" s="8" t="s">
        <v>70</v>
      </c>
      <c r="F172" s="8">
        <v>3</v>
      </c>
      <c r="G172" s="44">
        <f>'ANÁLISE DOS PREÇOS COLETADOS'!AD216</f>
        <v>860</v>
      </c>
      <c r="H172" s="44">
        <f t="shared" si="6"/>
        <v>2580</v>
      </c>
    </row>
    <row r="173" spans="2:8" ht="47.25" x14ac:dyDescent="0.25">
      <c r="B173" s="8" t="s">
        <v>579</v>
      </c>
      <c r="C173" s="8" t="s">
        <v>580</v>
      </c>
      <c r="D173" s="8" t="s">
        <v>574</v>
      </c>
      <c r="E173" s="8" t="s">
        <v>70</v>
      </c>
      <c r="F173" s="8">
        <v>3</v>
      </c>
      <c r="G173" s="44">
        <f>'ANÁLISE DOS PREÇOS COLETADOS'!AD217</f>
        <v>833.33333333333337</v>
      </c>
      <c r="H173" s="44">
        <f t="shared" si="6"/>
        <v>2500</v>
      </c>
    </row>
    <row r="174" spans="2:8" ht="47.25" x14ac:dyDescent="0.25">
      <c r="B174" s="8" t="s">
        <v>581</v>
      </c>
      <c r="C174" s="8" t="s">
        <v>582</v>
      </c>
      <c r="D174" s="8" t="s">
        <v>574</v>
      </c>
      <c r="E174" s="8" t="s">
        <v>70</v>
      </c>
      <c r="F174" s="8">
        <v>2</v>
      </c>
      <c r="G174" s="44">
        <f>'ANÁLISE DOS PREÇOS COLETADOS'!AD218</f>
        <v>1250</v>
      </c>
      <c r="H174" s="44">
        <f t="shared" si="6"/>
        <v>2500</v>
      </c>
    </row>
    <row r="175" spans="2:8" ht="47.25" x14ac:dyDescent="0.25">
      <c r="B175" s="8" t="s">
        <v>583</v>
      </c>
      <c r="C175" s="8" t="s">
        <v>584</v>
      </c>
      <c r="D175" s="8" t="s">
        <v>574</v>
      </c>
      <c r="E175" s="8" t="s">
        <v>224</v>
      </c>
      <c r="F175" s="8">
        <v>2</v>
      </c>
      <c r="G175" s="44">
        <f>'ANÁLISE DOS PREÇOS COLETADOS'!AD219</f>
        <v>57.082499999999996</v>
      </c>
      <c r="H175" s="44">
        <f t="shared" si="6"/>
        <v>114.16499999999999</v>
      </c>
    </row>
    <row r="176" spans="2:8" ht="47.25" x14ac:dyDescent="0.25">
      <c r="B176" s="8" t="s">
        <v>585</v>
      </c>
      <c r="C176" s="8" t="s">
        <v>586</v>
      </c>
      <c r="D176" s="8" t="s">
        <v>574</v>
      </c>
      <c r="E176" s="8" t="s">
        <v>224</v>
      </c>
      <c r="F176" s="8">
        <v>2</v>
      </c>
      <c r="G176" s="44">
        <f>'ANÁLISE DOS PREÇOS COLETADOS'!AD220</f>
        <v>73.5</v>
      </c>
      <c r="H176" s="44">
        <f t="shared" si="6"/>
        <v>147</v>
      </c>
    </row>
    <row r="177" spans="2:8" ht="47.25" customHeight="1" x14ac:dyDescent="0.25">
      <c r="B177" s="8" t="s">
        <v>587</v>
      </c>
      <c r="C177" s="8" t="s">
        <v>588</v>
      </c>
      <c r="D177" s="8" t="s">
        <v>589</v>
      </c>
      <c r="E177" s="8" t="s">
        <v>357</v>
      </c>
      <c r="F177" s="8">
        <v>60</v>
      </c>
      <c r="G177" s="44">
        <f>'ANÁLISE DOS PREÇOS COLETADOS'!AD221</f>
        <v>35</v>
      </c>
      <c r="H177" s="44">
        <f t="shared" si="6"/>
        <v>2100</v>
      </c>
    </row>
    <row r="178" spans="2:8" ht="47.25" x14ac:dyDescent="0.25">
      <c r="B178" s="8" t="s">
        <v>590</v>
      </c>
      <c r="C178" s="8" t="s">
        <v>591</v>
      </c>
      <c r="D178" s="8" t="s">
        <v>592</v>
      </c>
      <c r="E178" s="8" t="s">
        <v>224</v>
      </c>
      <c r="F178" s="8">
        <v>10</v>
      </c>
      <c r="G178" s="44">
        <f>'ANÁLISE DOS PREÇOS COLETADOS'!AD222</f>
        <v>40</v>
      </c>
      <c r="H178" s="44">
        <f t="shared" si="6"/>
        <v>400</v>
      </c>
    </row>
    <row r="179" spans="2:8" ht="47.25" x14ac:dyDescent="0.25">
      <c r="B179" s="8" t="s">
        <v>593</v>
      </c>
      <c r="C179" s="8" t="s">
        <v>594</v>
      </c>
      <c r="D179" s="8" t="s">
        <v>592</v>
      </c>
      <c r="E179" s="8" t="s">
        <v>224</v>
      </c>
      <c r="F179" s="8">
        <v>10</v>
      </c>
      <c r="G179" s="44">
        <f>'ANÁLISE DOS PREÇOS COLETADOS'!AD223</f>
        <v>47.5</v>
      </c>
      <c r="H179" s="44">
        <f t="shared" si="6"/>
        <v>475</v>
      </c>
    </row>
    <row r="180" spans="2:8" ht="63" x14ac:dyDescent="0.25">
      <c r="B180" s="8" t="s">
        <v>595</v>
      </c>
      <c r="C180" s="8" t="s">
        <v>373</v>
      </c>
      <c r="D180" s="8" t="s">
        <v>596</v>
      </c>
      <c r="E180" s="8" t="s">
        <v>70</v>
      </c>
      <c r="F180" s="8">
        <v>80</v>
      </c>
      <c r="G180" s="44">
        <f>'ANÁLISE DOS PREÇOS COLETADOS'!AD224</f>
        <v>30</v>
      </c>
      <c r="H180" s="44">
        <f t="shared" si="6"/>
        <v>2400</v>
      </c>
    </row>
    <row r="181" spans="2:8" ht="47.25" x14ac:dyDescent="0.25">
      <c r="B181" s="8" t="s">
        <v>597</v>
      </c>
      <c r="C181" s="8" t="s">
        <v>598</v>
      </c>
      <c r="D181" s="8" t="s">
        <v>599</v>
      </c>
      <c r="E181" s="8" t="s">
        <v>70</v>
      </c>
      <c r="F181" s="8">
        <v>4</v>
      </c>
      <c r="G181" s="44">
        <f>'ANÁLISE DOS PREÇOS COLETADOS'!AD225</f>
        <v>19.28</v>
      </c>
      <c r="H181" s="44">
        <f t="shared" ref="H181" si="7">G181*F181</f>
        <v>77.12</v>
      </c>
    </row>
    <row r="182" spans="2:8" ht="15.75" x14ac:dyDescent="0.25">
      <c r="B182" s="84" t="s">
        <v>403</v>
      </c>
      <c r="C182" s="84"/>
      <c r="D182" s="84"/>
      <c r="E182" s="84"/>
      <c r="F182" s="84"/>
      <c r="G182" s="80">
        <f>SUM(H116:H181)</f>
        <v>75414.895833333328</v>
      </c>
      <c r="H182" s="81"/>
    </row>
    <row r="183" spans="2:8" ht="15.75" customHeight="1" x14ac:dyDescent="0.25">
      <c r="B183" s="119" t="s">
        <v>375</v>
      </c>
      <c r="C183" s="120"/>
      <c r="D183" s="120"/>
      <c r="E183" s="120"/>
      <c r="F183" s="120"/>
      <c r="G183" s="120"/>
      <c r="H183" s="121"/>
    </row>
    <row r="184" spans="2:8" ht="52.5" customHeight="1" x14ac:dyDescent="0.25">
      <c r="B184" s="11" t="s">
        <v>1</v>
      </c>
      <c r="C184" s="11" t="s">
        <v>2</v>
      </c>
      <c r="D184" s="11" t="s">
        <v>3</v>
      </c>
      <c r="E184" s="11" t="s">
        <v>396</v>
      </c>
      <c r="F184" s="11" t="s">
        <v>4</v>
      </c>
      <c r="G184" s="47" t="s">
        <v>759</v>
      </c>
      <c r="H184" s="47" t="s">
        <v>767</v>
      </c>
    </row>
    <row r="185" spans="2:8" ht="47.25" x14ac:dyDescent="0.25">
      <c r="B185" s="8" t="s">
        <v>376</v>
      </c>
      <c r="C185" s="8" t="s">
        <v>600</v>
      </c>
      <c r="D185" s="8" t="s">
        <v>601</v>
      </c>
      <c r="E185" s="8" t="s">
        <v>116</v>
      </c>
      <c r="F185" s="8">
        <v>10</v>
      </c>
      <c r="G185" s="44">
        <f>'ANÁLISE DOS PREÇOS COLETADOS'!AD228</f>
        <v>110</v>
      </c>
      <c r="H185" s="44">
        <f>G185*F185</f>
        <v>1100</v>
      </c>
    </row>
    <row r="186" spans="2:8" ht="126" x14ac:dyDescent="0.25">
      <c r="B186" s="8" t="s">
        <v>379</v>
      </c>
      <c r="C186" s="8" t="s">
        <v>602</v>
      </c>
      <c r="D186" s="8" t="s">
        <v>603</v>
      </c>
      <c r="E186" s="8" t="s">
        <v>116</v>
      </c>
      <c r="F186" s="8">
        <v>1</v>
      </c>
      <c r="G186" s="44">
        <f>'ANÁLISE DOS PREÇOS COLETADOS'!AD233</f>
        <v>236.16</v>
      </c>
      <c r="H186" s="44">
        <f t="shared" ref="H186:H191" si="8">G186*F186</f>
        <v>236.16</v>
      </c>
    </row>
    <row r="187" spans="2:8" ht="78.75" x14ac:dyDescent="0.25">
      <c r="B187" s="8" t="s">
        <v>381</v>
      </c>
      <c r="C187" s="8" t="s">
        <v>604</v>
      </c>
      <c r="D187" s="8" t="s">
        <v>605</v>
      </c>
      <c r="E187" s="8" t="s">
        <v>606</v>
      </c>
      <c r="F187" s="8">
        <v>60</v>
      </c>
      <c r="G187" s="44">
        <f>'ANÁLISE DOS PREÇOS COLETADOS'!AD234</f>
        <v>74.5</v>
      </c>
      <c r="H187" s="44">
        <f t="shared" si="8"/>
        <v>4470</v>
      </c>
    </row>
    <row r="188" spans="2:8" ht="63" x14ac:dyDescent="0.25">
      <c r="B188" s="8" t="s">
        <v>607</v>
      </c>
      <c r="C188" s="8" t="s">
        <v>608</v>
      </c>
      <c r="D188" s="8" t="s">
        <v>609</v>
      </c>
      <c r="E188" s="8" t="s">
        <v>357</v>
      </c>
      <c r="F188" s="8">
        <v>250</v>
      </c>
      <c r="G188" s="44">
        <f>'ANÁLISE DOS PREÇOS COLETADOS'!AD236</f>
        <v>3.5</v>
      </c>
      <c r="H188" s="44">
        <f t="shared" si="8"/>
        <v>875</v>
      </c>
    </row>
    <row r="189" spans="2:8" ht="63" x14ac:dyDescent="0.25">
      <c r="B189" s="8" t="s">
        <v>610</v>
      </c>
      <c r="C189" s="8" t="s">
        <v>611</v>
      </c>
      <c r="D189" s="8" t="s">
        <v>383</v>
      </c>
      <c r="E189" s="8" t="s">
        <v>802</v>
      </c>
      <c r="F189" s="8">
        <v>3</v>
      </c>
      <c r="G189" s="44">
        <f>'ANÁLISE DOS PREÇOS COLETADOS'!AD237</f>
        <v>250</v>
      </c>
      <c r="H189" s="44">
        <f t="shared" si="8"/>
        <v>750</v>
      </c>
    </row>
    <row r="190" spans="2:8" ht="31.5" x14ac:dyDescent="0.25">
      <c r="B190" s="8" t="s">
        <v>612</v>
      </c>
      <c r="C190" s="8" t="s">
        <v>380</v>
      </c>
      <c r="D190" s="8" t="s">
        <v>404</v>
      </c>
      <c r="E190" s="8" t="s">
        <v>371</v>
      </c>
      <c r="F190" s="8">
        <v>3</v>
      </c>
      <c r="G190" s="44">
        <f>'ANÁLISE DOS PREÇOS COLETADOS'!AD238</f>
        <v>130</v>
      </c>
      <c r="H190" s="44">
        <f t="shared" si="8"/>
        <v>390</v>
      </c>
    </row>
    <row r="191" spans="2:8" ht="31.5" x14ac:dyDescent="0.25">
      <c r="B191" s="8" t="s">
        <v>613</v>
      </c>
      <c r="C191" s="8" t="s">
        <v>614</v>
      </c>
      <c r="D191" s="8" t="s">
        <v>615</v>
      </c>
      <c r="E191" s="8" t="s">
        <v>116</v>
      </c>
      <c r="F191" s="8">
        <v>10</v>
      </c>
      <c r="G191" s="44">
        <f>'ANÁLISE DOS PREÇOS COLETADOS'!AD243</f>
        <v>61.9</v>
      </c>
      <c r="H191" s="44">
        <f t="shared" si="8"/>
        <v>619</v>
      </c>
    </row>
    <row r="192" spans="2:8" ht="15.75" x14ac:dyDescent="0.25">
      <c r="B192" s="84" t="s">
        <v>405</v>
      </c>
      <c r="C192" s="84"/>
      <c r="D192" s="84"/>
      <c r="E192" s="84"/>
      <c r="F192" s="84"/>
      <c r="G192" s="80">
        <f>SUM(H185:H191)</f>
        <v>8440.16</v>
      </c>
      <c r="H192" s="81"/>
    </row>
    <row r="193" spans="2:8" ht="15.75" customHeight="1" x14ac:dyDescent="0.25">
      <c r="B193" s="119" t="s">
        <v>384</v>
      </c>
      <c r="C193" s="120"/>
      <c r="D193" s="120"/>
      <c r="E193" s="120"/>
      <c r="F193" s="120"/>
      <c r="G193" s="120"/>
      <c r="H193" s="121"/>
    </row>
    <row r="194" spans="2:8" ht="39.75" customHeight="1" x14ac:dyDescent="0.25">
      <c r="B194" s="11" t="s">
        <v>1</v>
      </c>
      <c r="C194" s="11" t="s">
        <v>2</v>
      </c>
      <c r="D194" s="11" t="s">
        <v>3</v>
      </c>
      <c r="E194" s="11" t="s">
        <v>396</v>
      </c>
      <c r="F194" s="11" t="s">
        <v>4</v>
      </c>
      <c r="G194" s="47" t="s">
        <v>759</v>
      </c>
      <c r="H194" s="47" t="s">
        <v>767</v>
      </c>
    </row>
    <row r="195" spans="2:8" ht="31.5" x14ac:dyDescent="0.25">
      <c r="B195" s="8" t="s">
        <v>385</v>
      </c>
      <c r="C195" s="8" t="s">
        <v>616</v>
      </c>
      <c r="D195" s="8" t="s">
        <v>390</v>
      </c>
      <c r="E195" s="8" t="s">
        <v>70</v>
      </c>
      <c r="F195" s="8">
        <v>1</v>
      </c>
      <c r="G195" s="44">
        <f>'ANÁLISE DOS PREÇOS COLETADOS'!AD246</f>
        <v>5</v>
      </c>
      <c r="H195" s="44">
        <f>G195*F195</f>
        <v>5</v>
      </c>
    </row>
    <row r="196" spans="2:8" ht="15.75" x14ac:dyDescent="0.25">
      <c r="B196" s="84" t="s">
        <v>406</v>
      </c>
      <c r="C196" s="84"/>
      <c r="D196" s="84"/>
      <c r="E196" s="84"/>
      <c r="F196" s="84"/>
      <c r="G196" s="118">
        <f>H195</f>
        <v>5</v>
      </c>
      <c r="H196" s="78"/>
    </row>
    <row r="197" spans="2:8" ht="15.75" customHeight="1" x14ac:dyDescent="0.25">
      <c r="B197" s="119" t="s">
        <v>391</v>
      </c>
      <c r="C197" s="120"/>
      <c r="D197" s="120"/>
      <c r="E197" s="120"/>
      <c r="F197" s="120"/>
      <c r="G197" s="120"/>
      <c r="H197" s="121"/>
    </row>
    <row r="198" spans="2:8" ht="51.75" customHeight="1" x14ac:dyDescent="0.25">
      <c r="B198" s="11" t="s">
        <v>1</v>
      </c>
      <c r="C198" s="11" t="s">
        <v>2</v>
      </c>
      <c r="D198" s="11" t="s">
        <v>3</v>
      </c>
      <c r="E198" s="11" t="s">
        <v>396</v>
      </c>
      <c r="F198" s="11" t="s">
        <v>4</v>
      </c>
      <c r="G198" s="47" t="s">
        <v>759</v>
      </c>
      <c r="H198" s="47" t="s">
        <v>767</v>
      </c>
    </row>
    <row r="199" spans="2:8" ht="78.75" x14ac:dyDescent="0.25">
      <c r="B199" s="8" t="s">
        <v>392</v>
      </c>
      <c r="C199" s="8" t="s">
        <v>617</v>
      </c>
      <c r="D199" s="8" t="s">
        <v>618</v>
      </c>
      <c r="E199" s="8" t="s">
        <v>619</v>
      </c>
      <c r="F199" s="8">
        <v>1</v>
      </c>
      <c r="G199" s="44">
        <f>'ANÁLISE DOS PREÇOS COLETADOS'!AD251</f>
        <v>3200</v>
      </c>
      <c r="H199" s="44">
        <f>G199*F199</f>
        <v>3200</v>
      </c>
    </row>
    <row r="200" spans="2:8" ht="78.75" x14ac:dyDescent="0.25">
      <c r="B200" s="8" t="s">
        <v>620</v>
      </c>
      <c r="C200" s="8" t="s">
        <v>621</v>
      </c>
      <c r="D200" s="8" t="s">
        <v>618</v>
      </c>
      <c r="E200" s="8" t="s">
        <v>619</v>
      </c>
      <c r="F200" s="8">
        <v>1</v>
      </c>
      <c r="G200" s="44">
        <f>'ANÁLISE DOS PREÇOS COLETADOS'!AD252</f>
        <v>2100</v>
      </c>
      <c r="H200" s="44">
        <f t="shared" ref="H200:H203" si="9">G200*F200</f>
        <v>2100</v>
      </c>
    </row>
    <row r="201" spans="2:8" ht="78.75" x14ac:dyDescent="0.25">
      <c r="B201" s="8" t="s">
        <v>622</v>
      </c>
      <c r="C201" s="8" t="s">
        <v>623</v>
      </c>
      <c r="D201" s="8" t="s">
        <v>618</v>
      </c>
      <c r="E201" s="8" t="s">
        <v>619</v>
      </c>
      <c r="F201" s="8">
        <v>1</v>
      </c>
      <c r="G201" s="44">
        <f>'ANÁLISE DOS PREÇOS COLETADOS'!AD253</f>
        <v>2100</v>
      </c>
      <c r="H201" s="44">
        <f t="shared" si="9"/>
        <v>2100</v>
      </c>
    </row>
    <row r="202" spans="2:8" ht="78.75" x14ac:dyDescent="0.25">
      <c r="B202" s="8" t="s">
        <v>624</v>
      </c>
      <c r="C202" s="8" t="s">
        <v>625</v>
      </c>
      <c r="D202" s="8" t="s">
        <v>618</v>
      </c>
      <c r="E202" s="8" t="s">
        <v>619</v>
      </c>
      <c r="F202" s="8">
        <v>2</v>
      </c>
      <c r="G202" s="44">
        <f>'ANÁLISE DOS PREÇOS COLETADOS'!AD254</f>
        <v>520</v>
      </c>
      <c r="H202" s="44">
        <f t="shared" si="9"/>
        <v>1040</v>
      </c>
    </row>
    <row r="203" spans="2:8" ht="189" x14ac:dyDescent="0.25">
      <c r="B203" s="8" t="s">
        <v>626</v>
      </c>
      <c r="C203" s="8" t="s">
        <v>393</v>
      </c>
      <c r="D203" s="8" t="s">
        <v>627</v>
      </c>
      <c r="E203" s="8" t="s">
        <v>7</v>
      </c>
      <c r="F203" s="8">
        <v>1</v>
      </c>
      <c r="G203" s="44">
        <f>'ANÁLISE DOS PREÇOS COLETADOS'!AD255</f>
        <v>800</v>
      </c>
      <c r="H203" s="44">
        <f t="shared" si="9"/>
        <v>800</v>
      </c>
    </row>
    <row r="204" spans="2:8" ht="15.75" x14ac:dyDescent="0.25">
      <c r="B204" s="84" t="s">
        <v>407</v>
      </c>
      <c r="C204" s="84"/>
      <c r="D204" s="84"/>
      <c r="E204" s="84"/>
      <c r="F204" s="84"/>
      <c r="G204" s="118">
        <f>SUM(H199:H203)</f>
        <v>9240</v>
      </c>
      <c r="H204" s="78"/>
    </row>
    <row r="205" spans="2:8" ht="15.75" x14ac:dyDescent="0.25">
      <c r="B205" s="122"/>
      <c r="C205" s="122"/>
      <c r="D205" s="122"/>
      <c r="E205" s="122"/>
      <c r="F205" s="122"/>
      <c r="G205" s="122"/>
      <c r="H205" s="122"/>
    </row>
    <row r="206" spans="2:8" ht="15.75" customHeight="1" x14ac:dyDescent="0.25">
      <c r="B206" s="84" t="s">
        <v>768</v>
      </c>
      <c r="C206" s="84"/>
      <c r="D206" s="84"/>
      <c r="E206" s="84"/>
      <c r="F206" s="84"/>
      <c r="G206" s="118">
        <f>SUM(G14,G22,G30,G82,G113,G182,G192,G196,G204)</f>
        <v>134277.2899</v>
      </c>
      <c r="H206" s="78"/>
    </row>
    <row r="207" spans="2:8" ht="15.75" x14ac:dyDescent="0.25">
      <c r="B207" s="84" t="s">
        <v>736</v>
      </c>
      <c r="C207" s="84"/>
      <c r="D207" s="84"/>
      <c r="E207" s="84"/>
      <c r="F207" s="84"/>
      <c r="G207" s="91">
        <v>9</v>
      </c>
      <c r="H207" s="91"/>
    </row>
    <row r="208" spans="2:8" ht="15.75" x14ac:dyDescent="0.25">
      <c r="B208" s="84" t="s">
        <v>774</v>
      </c>
      <c r="C208" s="84"/>
      <c r="D208" s="84"/>
      <c r="E208" s="84"/>
      <c r="F208" s="84"/>
      <c r="G208" s="118">
        <f>G206*G207</f>
        <v>1208495.6091</v>
      </c>
      <c r="H208" s="78"/>
    </row>
  </sheetData>
  <mergeCells count="80">
    <mergeCell ref="B2:H2"/>
    <mergeCell ref="B208:F208"/>
    <mergeCell ref="B196:F196"/>
    <mergeCell ref="B204:F204"/>
    <mergeCell ref="B206:F206"/>
    <mergeCell ref="B207:F207"/>
    <mergeCell ref="B82:F82"/>
    <mergeCell ref="B87:B95"/>
    <mergeCell ref="C87:C95"/>
    <mergeCell ref="E87:E95"/>
    <mergeCell ref="F87:F95"/>
    <mergeCell ref="B114:H114"/>
    <mergeCell ref="B113:F113"/>
    <mergeCell ref="B182:F182"/>
    <mergeCell ref="B192:F192"/>
    <mergeCell ref="B9:B11"/>
    <mergeCell ref="B183:H183"/>
    <mergeCell ref="N60:N62"/>
    <mergeCell ref="G87:G95"/>
    <mergeCell ref="B83:H83"/>
    <mergeCell ref="G82:H82"/>
    <mergeCell ref="H87:H95"/>
    <mergeCell ref="L60:L62"/>
    <mergeCell ref="M60:M62"/>
    <mergeCell ref="B60:B62"/>
    <mergeCell ref="C60:C62"/>
    <mergeCell ref="E60:E62"/>
    <mergeCell ref="F60:F62"/>
    <mergeCell ref="K60:K62"/>
    <mergeCell ref="G30:H30"/>
    <mergeCell ref="B31:H31"/>
    <mergeCell ref="G60:G62"/>
    <mergeCell ref="B30:F30"/>
    <mergeCell ref="C24:C25"/>
    <mergeCell ref="B32:B33"/>
    <mergeCell ref="C32:C33"/>
    <mergeCell ref="D32:D33"/>
    <mergeCell ref="F32:F33"/>
    <mergeCell ref="E32:E33"/>
    <mergeCell ref="E24:E25"/>
    <mergeCell ref="B24:B25"/>
    <mergeCell ref="G16:G17"/>
    <mergeCell ref="I9:I11"/>
    <mergeCell ref="H60:H62"/>
    <mergeCell ref="I60:I62"/>
    <mergeCell ref="J60:J62"/>
    <mergeCell ref="G9:G11"/>
    <mergeCell ref="H9:H11"/>
    <mergeCell ref="G14:H14"/>
    <mergeCell ref="B15:H15"/>
    <mergeCell ref="G22:H22"/>
    <mergeCell ref="B14:F14"/>
    <mergeCell ref="C9:C11"/>
    <mergeCell ref="E9:E11"/>
    <mergeCell ref="F9:F11"/>
    <mergeCell ref="B22:F22"/>
    <mergeCell ref="B23:H23"/>
    <mergeCell ref="G192:H192"/>
    <mergeCell ref="B193:H193"/>
    <mergeCell ref="H16:H17"/>
    <mergeCell ref="H24:H25"/>
    <mergeCell ref="G32:G33"/>
    <mergeCell ref="H32:H33"/>
    <mergeCell ref="G182:H182"/>
    <mergeCell ref="G113:H113"/>
    <mergeCell ref="E16:E17"/>
    <mergeCell ref="D24:D25"/>
    <mergeCell ref="F24:F25"/>
    <mergeCell ref="G24:G25"/>
    <mergeCell ref="B16:B17"/>
    <mergeCell ref="C16:C17"/>
    <mergeCell ref="D16:D17"/>
    <mergeCell ref="F16:F17"/>
    <mergeCell ref="G206:H206"/>
    <mergeCell ref="G207:H207"/>
    <mergeCell ref="G208:H208"/>
    <mergeCell ref="G196:H196"/>
    <mergeCell ref="B197:H197"/>
    <mergeCell ref="G204:H204"/>
    <mergeCell ref="B205:H205"/>
  </mergeCells>
  <pageMargins left="0.511811024" right="0.511811024" top="0.78740157499999996" bottom="0.78740157499999996" header="0.31496062000000002" footer="0.31496062000000002"/>
  <pageSetup paperSize="9"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3A39-F2C3-4F84-9CE0-E985D874EFB7}">
  <dimension ref="B2:H181"/>
  <sheetViews>
    <sheetView topLeftCell="A57" zoomScale="78" zoomScaleNormal="78" workbookViewId="0">
      <selection activeCell="D58" sqref="D58"/>
    </sheetView>
  </sheetViews>
  <sheetFormatPr defaultRowHeight="15" x14ac:dyDescent="0.25"/>
  <cols>
    <col min="2" max="2" width="15" customWidth="1"/>
    <col min="3" max="3" width="23.42578125" customWidth="1"/>
    <col min="4" max="4" width="38.28515625" customWidth="1"/>
    <col min="5" max="5" width="22.140625" bestFit="1" customWidth="1"/>
    <col min="6" max="6" width="17" customWidth="1"/>
    <col min="7" max="7" width="21.5703125" customWidth="1"/>
    <col min="8" max="8" width="21.140625" customWidth="1"/>
  </cols>
  <sheetData>
    <row r="2" spans="2:8" ht="15.75" customHeight="1" x14ac:dyDescent="0.25">
      <c r="B2" s="84" t="s">
        <v>629</v>
      </c>
      <c r="C2" s="84"/>
      <c r="D2" s="84"/>
      <c r="E2" s="84"/>
      <c r="F2" s="84"/>
      <c r="G2" s="84"/>
      <c r="H2" s="84"/>
    </row>
    <row r="3" spans="2:8" ht="63" customHeight="1" x14ac:dyDescent="0.25">
      <c r="B3" s="11" t="s">
        <v>1</v>
      </c>
      <c r="C3" s="11" t="s">
        <v>2</v>
      </c>
      <c r="D3" s="11" t="s">
        <v>3</v>
      </c>
      <c r="E3" s="11" t="s">
        <v>396</v>
      </c>
      <c r="F3" s="11" t="s">
        <v>4</v>
      </c>
      <c r="G3" s="47" t="s">
        <v>759</v>
      </c>
      <c r="H3" s="47" t="s">
        <v>767</v>
      </c>
    </row>
    <row r="4" spans="2:8" ht="51" customHeight="1" x14ac:dyDescent="0.25">
      <c r="B4" s="8" t="s">
        <v>9</v>
      </c>
      <c r="C4" s="8" t="s">
        <v>10</v>
      </c>
      <c r="D4" s="8" t="s">
        <v>11</v>
      </c>
      <c r="E4" s="8" t="s">
        <v>12</v>
      </c>
      <c r="F4" s="8">
        <v>20</v>
      </c>
      <c r="G4" s="44">
        <f>'ANÁLISE DOS PREÇOS COLETADOS'!AD5</f>
        <v>3.21</v>
      </c>
      <c r="H4" s="44">
        <f>G4*F4</f>
        <v>64.2</v>
      </c>
    </row>
    <row r="5" spans="2:8" ht="78.75" x14ac:dyDescent="0.25">
      <c r="B5" s="8" t="s">
        <v>13</v>
      </c>
      <c r="C5" s="8" t="s">
        <v>14</v>
      </c>
      <c r="D5" s="8" t="s">
        <v>15</v>
      </c>
      <c r="E5" s="8" t="s">
        <v>12</v>
      </c>
      <c r="F5" s="8">
        <v>2</v>
      </c>
      <c r="G5" s="44">
        <f>'ANÁLISE DOS PREÇOS COLETADOS'!AD7</f>
        <v>22.5</v>
      </c>
      <c r="H5" s="44">
        <f>G5*F5</f>
        <v>45</v>
      </c>
    </row>
    <row r="6" spans="2:8" ht="31.5" customHeight="1" x14ac:dyDescent="0.25">
      <c r="B6" s="122" t="s">
        <v>16</v>
      </c>
      <c r="C6" s="122" t="s">
        <v>25</v>
      </c>
      <c r="D6" s="8" t="s">
        <v>687</v>
      </c>
      <c r="E6" s="122" t="s">
        <v>19</v>
      </c>
      <c r="F6" s="122">
        <v>30</v>
      </c>
      <c r="G6" s="85">
        <f>'ANÁLISE DOS PREÇOS COLETADOS'!AD9</f>
        <v>21</v>
      </c>
      <c r="H6" s="90">
        <f>G6*F6</f>
        <v>630</v>
      </c>
    </row>
    <row r="7" spans="2:8" ht="31.5" x14ac:dyDescent="0.25">
      <c r="B7" s="122"/>
      <c r="C7" s="122"/>
      <c r="D7" s="8" t="s">
        <v>689</v>
      </c>
      <c r="E7" s="122"/>
      <c r="F7" s="122"/>
      <c r="G7" s="124"/>
      <c r="H7" s="91"/>
    </row>
    <row r="8" spans="2:8" ht="405" x14ac:dyDescent="0.25">
      <c r="B8" s="122"/>
      <c r="C8" s="122"/>
      <c r="D8" s="50" t="s">
        <v>688</v>
      </c>
      <c r="E8" s="122"/>
      <c r="F8" s="122"/>
      <c r="G8" s="125"/>
      <c r="H8" s="91"/>
    </row>
    <row r="9" spans="2:8" ht="15.75" x14ac:dyDescent="0.25">
      <c r="B9" s="122" t="s">
        <v>20</v>
      </c>
      <c r="C9" s="122" t="s">
        <v>630</v>
      </c>
      <c r="D9" s="8" t="s">
        <v>414</v>
      </c>
      <c r="E9" s="122" t="s">
        <v>19</v>
      </c>
      <c r="F9" s="122">
        <v>5</v>
      </c>
      <c r="G9" s="90">
        <f>'ANÁLISE DOS PREÇOS COLETADOS'!AD21</f>
        <v>50</v>
      </c>
      <c r="H9" s="90">
        <f>G9*F9</f>
        <v>250</v>
      </c>
    </row>
    <row r="10" spans="2:8" ht="15.75" x14ac:dyDescent="0.25">
      <c r="B10" s="122"/>
      <c r="C10" s="122"/>
      <c r="D10" s="8" t="s">
        <v>415</v>
      </c>
      <c r="E10" s="122"/>
      <c r="F10" s="122"/>
      <c r="G10" s="91"/>
      <c r="H10" s="91"/>
    </row>
    <row r="11" spans="2:8" ht="267.75" x14ac:dyDescent="0.25">
      <c r="B11" s="122"/>
      <c r="C11" s="122"/>
      <c r="D11" s="8" t="s">
        <v>416</v>
      </c>
      <c r="E11" s="122"/>
      <c r="F11" s="122"/>
      <c r="G11" s="91"/>
      <c r="H11" s="91"/>
    </row>
    <row r="12" spans="2:8" ht="78.75" x14ac:dyDescent="0.25">
      <c r="B12" s="8" t="s">
        <v>24</v>
      </c>
      <c r="C12" s="8" t="s">
        <v>21</v>
      </c>
      <c r="D12" s="8" t="s">
        <v>631</v>
      </c>
      <c r="E12" s="8" t="s">
        <v>632</v>
      </c>
      <c r="F12" s="8">
        <v>2</v>
      </c>
      <c r="G12" s="44">
        <f>'ANÁLISE DOS PREÇOS COLETADOS'!AD26</f>
        <v>20</v>
      </c>
      <c r="H12" s="44">
        <f>G12*F12</f>
        <v>40</v>
      </c>
    </row>
    <row r="13" spans="2:8" ht="78.75" x14ac:dyDescent="0.25">
      <c r="B13" s="8" t="s">
        <v>27</v>
      </c>
      <c r="C13" s="8" t="s">
        <v>39</v>
      </c>
      <c r="D13" s="8" t="s">
        <v>40</v>
      </c>
      <c r="E13" s="8" t="s">
        <v>418</v>
      </c>
      <c r="F13" s="8">
        <v>2</v>
      </c>
      <c r="G13" s="44">
        <f>'ANÁLISE DOS PREÇOS COLETADOS'!AD27</f>
        <v>45.225000000000001</v>
      </c>
      <c r="H13" s="44">
        <f>G13*F13</f>
        <v>90.45</v>
      </c>
    </row>
    <row r="14" spans="2:8" ht="15.75" x14ac:dyDescent="0.25">
      <c r="B14" s="84" t="s">
        <v>398</v>
      </c>
      <c r="C14" s="84"/>
      <c r="D14" s="84"/>
      <c r="E14" s="84"/>
      <c r="F14" s="84"/>
      <c r="G14" s="126">
        <f>SUM(H4:H13)</f>
        <v>1119.6500000000001</v>
      </c>
      <c r="H14" s="127"/>
    </row>
    <row r="15" spans="2:8" ht="15.75" customHeight="1" x14ac:dyDescent="0.25">
      <c r="B15" s="84" t="s">
        <v>56</v>
      </c>
      <c r="C15" s="84"/>
      <c r="D15" s="84"/>
      <c r="E15" s="84"/>
      <c r="F15" s="84"/>
      <c r="G15" s="84"/>
      <c r="H15" s="84"/>
    </row>
    <row r="16" spans="2:8" ht="56.25" customHeight="1" x14ac:dyDescent="0.25">
      <c r="B16" s="11" t="s">
        <v>1</v>
      </c>
      <c r="C16" s="11" t="s">
        <v>2</v>
      </c>
      <c r="D16" s="11" t="s">
        <v>3</v>
      </c>
      <c r="E16" s="11" t="s">
        <v>396</v>
      </c>
      <c r="F16" s="11" t="s">
        <v>4</v>
      </c>
      <c r="G16" s="47" t="s">
        <v>759</v>
      </c>
      <c r="H16" s="47" t="s">
        <v>767</v>
      </c>
    </row>
    <row r="17" spans="2:8" ht="94.5" x14ac:dyDescent="0.25">
      <c r="B17" s="8" t="s">
        <v>57</v>
      </c>
      <c r="C17" s="8" t="s">
        <v>58</v>
      </c>
      <c r="D17" s="8" t="s">
        <v>59</v>
      </c>
      <c r="E17" s="8" t="s">
        <v>633</v>
      </c>
      <c r="F17" s="35">
        <v>115</v>
      </c>
      <c r="G17" s="44">
        <f>'ANÁLISE DOS PREÇOS COLETADOS'!AD35</f>
        <v>21.912950000000002</v>
      </c>
      <c r="H17" s="44">
        <f>G17*F17</f>
        <v>2519.9892500000001</v>
      </c>
    </row>
    <row r="18" spans="2:8" ht="15.75" x14ac:dyDescent="0.25">
      <c r="B18" s="8" t="s">
        <v>60</v>
      </c>
      <c r="C18" s="8" t="s">
        <v>634</v>
      </c>
      <c r="D18" s="8" t="s">
        <v>635</v>
      </c>
      <c r="E18" s="8" t="s">
        <v>70</v>
      </c>
      <c r="F18" s="35">
        <v>10</v>
      </c>
      <c r="G18" s="44">
        <f>'ANÁLISE DOS PREÇOS COLETADOS'!AD36</f>
        <v>5</v>
      </c>
      <c r="H18" s="44">
        <f t="shared" ref="H18:H20" si="0">G18*F18</f>
        <v>50</v>
      </c>
    </row>
    <row r="19" spans="2:8" ht="94.5" x14ac:dyDescent="0.25">
      <c r="B19" s="8" t="s">
        <v>62</v>
      </c>
      <c r="C19" s="8" t="s">
        <v>473</v>
      </c>
      <c r="D19" s="8" t="s">
        <v>474</v>
      </c>
      <c r="E19" s="8" t="s">
        <v>636</v>
      </c>
      <c r="F19" s="35">
        <v>50</v>
      </c>
      <c r="G19" s="44">
        <f>'ANÁLISE DOS PREÇOS COLETADOS'!AD38</f>
        <v>210</v>
      </c>
      <c r="H19" s="44">
        <f t="shared" si="0"/>
        <v>10500</v>
      </c>
    </row>
    <row r="20" spans="2:8" ht="94.5" x14ac:dyDescent="0.25">
      <c r="B20" s="8" t="s">
        <v>64</v>
      </c>
      <c r="C20" s="8" t="s">
        <v>61</v>
      </c>
      <c r="D20" s="8" t="s">
        <v>59</v>
      </c>
      <c r="E20" s="8" t="s">
        <v>633</v>
      </c>
      <c r="F20" s="35">
        <v>50</v>
      </c>
      <c r="G20" s="44">
        <f>'ANÁLISE DOS PREÇOS COLETADOS'!AD39</f>
        <v>30</v>
      </c>
      <c r="H20" s="44">
        <f t="shared" si="0"/>
        <v>1500</v>
      </c>
    </row>
    <row r="21" spans="2:8" ht="15.75" x14ac:dyDescent="0.25">
      <c r="B21" s="84" t="s">
        <v>400</v>
      </c>
      <c r="C21" s="84"/>
      <c r="D21" s="84"/>
      <c r="E21" s="84"/>
      <c r="F21" s="84"/>
      <c r="G21" s="118">
        <f>SUM(H17:H20)</f>
        <v>14569.989250000001</v>
      </c>
      <c r="H21" s="78"/>
    </row>
    <row r="22" spans="2:8" ht="15.75" customHeight="1" x14ac:dyDescent="0.25">
      <c r="B22" s="84" t="s">
        <v>66</v>
      </c>
      <c r="C22" s="84"/>
      <c r="D22" s="84"/>
      <c r="E22" s="84"/>
      <c r="F22" s="84"/>
      <c r="G22" s="84"/>
      <c r="H22" s="84"/>
    </row>
    <row r="23" spans="2:8" ht="58.5" customHeight="1" x14ac:dyDescent="0.25">
      <c r="B23" s="11" t="s">
        <v>1</v>
      </c>
      <c r="C23" s="11" t="s">
        <v>2</v>
      </c>
      <c r="D23" s="11" t="s">
        <v>3</v>
      </c>
      <c r="E23" s="11" t="s">
        <v>396</v>
      </c>
      <c r="F23" s="11" t="s">
        <v>4</v>
      </c>
      <c r="G23" s="47" t="s">
        <v>759</v>
      </c>
      <c r="H23" s="47" t="s">
        <v>767</v>
      </c>
    </row>
    <row r="24" spans="2:8" ht="94.5" x14ac:dyDescent="0.25">
      <c r="B24" s="8" t="s">
        <v>67</v>
      </c>
      <c r="C24" s="8" t="s">
        <v>68</v>
      </c>
      <c r="D24" s="8" t="s">
        <v>69</v>
      </c>
      <c r="E24" s="8" t="s">
        <v>70</v>
      </c>
      <c r="F24" s="8">
        <v>1</v>
      </c>
      <c r="G24" s="44">
        <f>'ANÁLISE DOS PREÇOS COLETADOS'!AD43</f>
        <v>500</v>
      </c>
      <c r="H24" s="44">
        <f>G24*F24</f>
        <v>500</v>
      </c>
    </row>
    <row r="25" spans="2:8" ht="141.75" x14ac:dyDescent="0.25">
      <c r="B25" s="8" t="s">
        <v>71</v>
      </c>
      <c r="C25" s="8" t="s">
        <v>75</v>
      </c>
      <c r="D25" s="8" t="s">
        <v>423</v>
      </c>
      <c r="E25" s="8" t="s">
        <v>70</v>
      </c>
      <c r="F25" s="8">
        <v>2</v>
      </c>
      <c r="G25" s="44">
        <f>'ANÁLISE DOS PREÇOS COLETADOS'!AD46</f>
        <v>23</v>
      </c>
      <c r="H25" s="44">
        <f t="shared" ref="H25:H50" si="1">G25*F25</f>
        <v>46</v>
      </c>
    </row>
    <row r="26" spans="2:8" ht="31.5" x14ac:dyDescent="0.25">
      <c r="B26" s="8" t="s">
        <v>74</v>
      </c>
      <c r="C26" s="8" t="s">
        <v>81</v>
      </c>
      <c r="D26" s="8" t="s">
        <v>82</v>
      </c>
      <c r="E26" s="8" t="s">
        <v>70</v>
      </c>
      <c r="F26" s="8">
        <v>2</v>
      </c>
      <c r="G26" s="44">
        <f>'ANÁLISE DOS PREÇOS COLETADOS'!AD47</f>
        <v>9.2800000000000011</v>
      </c>
      <c r="H26" s="44">
        <f t="shared" si="1"/>
        <v>18.560000000000002</v>
      </c>
    </row>
    <row r="27" spans="2:8" ht="31.5" x14ac:dyDescent="0.25">
      <c r="B27" s="8" t="s">
        <v>77</v>
      </c>
      <c r="C27" s="8" t="s">
        <v>84</v>
      </c>
      <c r="D27" s="8" t="s">
        <v>85</v>
      </c>
      <c r="E27" s="8" t="s">
        <v>70</v>
      </c>
      <c r="F27" s="8">
        <v>2</v>
      </c>
      <c r="G27" s="44">
        <f>'ANÁLISE DOS PREÇOS COLETADOS'!AD49</f>
        <v>90</v>
      </c>
      <c r="H27" s="44">
        <f t="shared" si="1"/>
        <v>180</v>
      </c>
    </row>
    <row r="28" spans="2:8" ht="31.5" x14ac:dyDescent="0.25">
      <c r="B28" s="8" t="s">
        <v>80</v>
      </c>
      <c r="C28" s="8" t="s">
        <v>84</v>
      </c>
      <c r="D28" s="8" t="s">
        <v>87</v>
      </c>
      <c r="E28" s="8" t="s">
        <v>70</v>
      </c>
      <c r="F28" s="8">
        <v>2</v>
      </c>
      <c r="G28" s="44">
        <f>'ANÁLISE DOS PREÇOS COLETADOS'!AD50</f>
        <v>87.5</v>
      </c>
      <c r="H28" s="44">
        <f t="shared" si="1"/>
        <v>175</v>
      </c>
    </row>
    <row r="29" spans="2:8" ht="47.25" x14ac:dyDescent="0.25">
      <c r="B29" s="8" t="s">
        <v>83</v>
      </c>
      <c r="C29" s="8" t="s">
        <v>89</v>
      </c>
      <c r="D29" s="8" t="s">
        <v>90</v>
      </c>
      <c r="E29" s="8" t="s">
        <v>70</v>
      </c>
      <c r="F29" s="8">
        <v>1</v>
      </c>
      <c r="G29" s="44">
        <f>'ANÁLISE DOS PREÇOS COLETADOS'!AD51</f>
        <v>43.002499999999998</v>
      </c>
      <c r="H29" s="44">
        <f t="shared" si="1"/>
        <v>43.002499999999998</v>
      </c>
    </row>
    <row r="30" spans="2:8" ht="236.25" x14ac:dyDescent="0.25">
      <c r="B30" s="8" t="s">
        <v>86</v>
      </c>
      <c r="C30" s="8" t="s">
        <v>92</v>
      </c>
      <c r="D30" s="8" t="s">
        <v>93</v>
      </c>
      <c r="E30" s="8" t="s">
        <v>70</v>
      </c>
      <c r="F30" s="8">
        <v>1</v>
      </c>
      <c r="G30" s="44">
        <f>'ANÁLISE DOS PREÇOS COLETADOS'!AD52</f>
        <v>20</v>
      </c>
      <c r="H30" s="44">
        <f t="shared" si="1"/>
        <v>20</v>
      </c>
    </row>
    <row r="31" spans="2:8" ht="204.75" x14ac:dyDescent="0.25">
      <c r="B31" s="8" t="s">
        <v>88</v>
      </c>
      <c r="C31" s="8" t="s">
        <v>95</v>
      </c>
      <c r="D31" s="8" t="s">
        <v>96</v>
      </c>
      <c r="E31" s="8" t="s">
        <v>70</v>
      </c>
      <c r="F31" s="8">
        <v>1</v>
      </c>
      <c r="G31" s="44">
        <f>'ANÁLISE DOS PREÇOS COLETADOS'!AD53</f>
        <v>38.5</v>
      </c>
      <c r="H31" s="44">
        <f t="shared" si="1"/>
        <v>38.5</v>
      </c>
    </row>
    <row r="32" spans="2:8" ht="31.5" x14ac:dyDescent="0.25">
      <c r="B32" s="8" t="s">
        <v>91</v>
      </c>
      <c r="C32" s="8" t="s">
        <v>98</v>
      </c>
      <c r="D32" s="8" t="s">
        <v>99</v>
      </c>
      <c r="E32" s="8" t="s">
        <v>7</v>
      </c>
      <c r="F32" s="8">
        <v>1</v>
      </c>
      <c r="G32" s="44">
        <f>'ANÁLISE DOS PREÇOS COLETADOS'!AD54</f>
        <v>7.5</v>
      </c>
      <c r="H32" s="44">
        <f t="shared" si="1"/>
        <v>7.5</v>
      </c>
    </row>
    <row r="33" spans="2:8" ht="63" x14ac:dyDescent="0.25">
      <c r="B33" s="8" t="s">
        <v>94</v>
      </c>
      <c r="C33" s="8" t="s">
        <v>101</v>
      </c>
      <c r="D33" s="8" t="s">
        <v>102</v>
      </c>
      <c r="E33" s="8" t="s">
        <v>70</v>
      </c>
      <c r="F33" s="8">
        <v>2</v>
      </c>
      <c r="G33" s="44">
        <f>'ANÁLISE DOS PREÇOS COLETADOS'!AD55</f>
        <v>10</v>
      </c>
      <c r="H33" s="44">
        <f t="shared" si="1"/>
        <v>20</v>
      </c>
    </row>
    <row r="34" spans="2:8" ht="220.5" x14ac:dyDescent="0.25">
      <c r="B34" s="8" t="s">
        <v>97</v>
      </c>
      <c r="C34" s="8" t="s">
        <v>110</v>
      </c>
      <c r="D34" s="8" t="s">
        <v>111</v>
      </c>
      <c r="E34" s="8" t="s">
        <v>112</v>
      </c>
      <c r="F34" s="8">
        <v>1</v>
      </c>
      <c r="G34" s="44">
        <f>'ANÁLISE DOS PREÇOS COLETADOS'!AD59</f>
        <v>500</v>
      </c>
      <c r="H34" s="44">
        <f t="shared" si="1"/>
        <v>500</v>
      </c>
    </row>
    <row r="35" spans="2:8" ht="78.75" x14ac:dyDescent="0.25">
      <c r="B35" s="8" t="s">
        <v>100</v>
      </c>
      <c r="C35" s="8" t="s">
        <v>114</v>
      </c>
      <c r="D35" s="8" t="s">
        <v>637</v>
      </c>
      <c r="E35" s="8" t="s">
        <v>116</v>
      </c>
      <c r="F35" s="8">
        <v>1</v>
      </c>
      <c r="G35" s="44">
        <f>'ANÁLISE DOS PREÇOS COLETADOS'!AD103</f>
        <v>500</v>
      </c>
      <c r="H35" s="44">
        <f t="shared" si="1"/>
        <v>500</v>
      </c>
    </row>
    <row r="36" spans="2:8" ht="47.25" x14ac:dyDescent="0.25">
      <c r="B36" s="8" t="s">
        <v>103</v>
      </c>
      <c r="C36" s="8" t="s">
        <v>222</v>
      </c>
      <c r="D36" s="8" t="s">
        <v>223</v>
      </c>
      <c r="E36" s="8" t="s">
        <v>638</v>
      </c>
      <c r="F36" s="8">
        <v>1</v>
      </c>
      <c r="G36" s="44">
        <f>'ANÁLISE DOS PREÇOS COLETADOS'!AD106</f>
        <v>200</v>
      </c>
      <c r="H36" s="44">
        <f t="shared" si="1"/>
        <v>200</v>
      </c>
    </row>
    <row r="37" spans="2:8" ht="15.75" x14ac:dyDescent="0.25">
      <c r="B37" s="8" t="s">
        <v>106</v>
      </c>
      <c r="C37" s="8" t="s">
        <v>118</v>
      </c>
      <c r="D37" s="8" t="s">
        <v>119</v>
      </c>
      <c r="E37" s="8" t="s">
        <v>70</v>
      </c>
      <c r="F37" s="8">
        <v>2</v>
      </c>
      <c r="G37" s="44">
        <f>'ANÁLISE DOS PREÇOS COLETADOS'!AD60</f>
        <v>105</v>
      </c>
      <c r="H37" s="44">
        <f t="shared" si="1"/>
        <v>210</v>
      </c>
    </row>
    <row r="38" spans="2:8" ht="31.5" x14ac:dyDescent="0.25">
      <c r="B38" s="8" t="s">
        <v>109</v>
      </c>
      <c r="C38" s="8" t="s">
        <v>121</v>
      </c>
      <c r="D38" s="8" t="s">
        <v>431</v>
      </c>
      <c r="E38" s="8" t="s">
        <v>70</v>
      </c>
      <c r="F38" s="8">
        <v>4</v>
      </c>
      <c r="G38" s="44">
        <f>'ANÁLISE DOS PREÇOS COLETADOS'!AD61</f>
        <v>26.666666666666668</v>
      </c>
      <c r="H38" s="44">
        <f t="shared" si="1"/>
        <v>106.66666666666667</v>
      </c>
    </row>
    <row r="39" spans="2:8" ht="47.25" x14ac:dyDescent="0.25">
      <c r="B39" s="8" t="s">
        <v>113</v>
      </c>
      <c r="C39" s="8" t="s">
        <v>121</v>
      </c>
      <c r="D39" s="8" t="s">
        <v>122</v>
      </c>
      <c r="E39" s="8" t="s">
        <v>70</v>
      </c>
      <c r="F39" s="8">
        <v>6</v>
      </c>
      <c r="G39" s="44">
        <f>'ANÁLISE DOS PREÇOS COLETADOS'!AD62</f>
        <v>28</v>
      </c>
      <c r="H39" s="44">
        <f t="shared" si="1"/>
        <v>168</v>
      </c>
    </row>
    <row r="40" spans="2:8" ht="15.75" x14ac:dyDescent="0.25">
      <c r="B40" s="8" t="s">
        <v>117</v>
      </c>
      <c r="C40" s="8" t="s">
        <v>124</v>
      </c>
      <c r="D40" s="8" t="s">
        <v>639</v>
      </c>
      <c r="E40" s="8" t="s">
        <v>70</v>
      </c>
      <c r="F40" s="8">
        <v>6</v>
      </c>
      <c r="G40" s="44">
        <f>'ANÁLISE DOS PREÇOS COLETADOS'!AD64</f>
        <v>21.5</v>
      </c>
      <c r="H40" s="44">
        <f t="shared" si="1"/>
        <v>129</v>
      </c>
    </row>
    <row r="41" spans="2:8" ht="141.75" x14ac:dyDescent="0.25">
      <c r="B41" s="8" t="s">
        <v>120</v>
      </c>
      <c r="C41" s="8" t="s">
        <v>432</v>
      </c>
      <c r="D41" s="8" t="s">
        <v>640</v>
      </c>
      <c r="E41" s="8" t="s">
        <v>301</v>
      </c>
      <c r="F41" s="8">
        <v>24</v>
      </c>
      <c r="G41" s="44">
        <f>'ANÁLISE DOS PREÇOS COLETADOS'!AD65</f>
        <v>145.36000000000001</v>
      </c>
      <c r="H41" s="44">
        <f t="shared" si="1"/>
        <v>3488.6400000000003</v>
      </c>
    </row>
    <row r="42" spans="2:8" ht="63" x14ac:dyDescent="0.25">
      <c r="B42" s="8" t="s">
        <v>123</v>
      </c>
      <c r="C42" s="8" t="s">
        <v>127</v>
      </c>
      <c r="D42" s="8" t="s">
        <v>128</v>
      </c>
      <c r="E42" s="8" t="s">
        <v>112</v>
      </c>
      <c r="F42" s="8">
        <v>4</v>
      </c>
      <c r="G42" s="44">
        <f>'ANÁLISE DOS PREÇOS COLETADOS'!AD66</f>
        <v>30</v>
      </c>
      <c r="H42" s="44">
        <f t="shared" si="1"/>
        <v>120</v>
      </c>
    </row>
    <row r="43" spans="2:8" ht="110.25" x14ac:dyDescent="0.25">
      <c r="B43" s="8" t="s">
        <v>126</v>
      </c>
      <c r="C43" s="8" t="s">
        <v>130</v>
      </c>
      <c r="D43" s="8" t="s">
        <v>131</v>
      </c>
      <c r="E43" s="8" t="s">
        <v>70</v>
      </c>
      <c r="F43" s="8">
        <v>4</v>
      </c>
      <c r="G43" s="44">
        <f>'ANÁLISE DOS PREÇOS COLETADOS'!AD67</f>
        <v>2.21</v>
      </c>
      <c r="H43" s="44">
        <f t="shared" si="1"/>
        <v>8.84</v>
      </c>
    </row>
    <row r="44" spans="2:8" ht="47.25" x14ac:dyDescent="0.25">
      <c r="B44" s="8" t="s">
        <v>129</v>
      </c>
      <c r="C44" s="8" t="s">
        <v>133</v>
      </c>
      <c r="D44" s="8" t="s">
        <v>134</v>
      </c>
      <c r="E44" s="8" t="s">
        <v>70</v>
      </c>
      <c r="F44" s="8">
        <v>6</v>
      </c>
      <c r="G44" s="44">
        <f>'ANÁLISE DOS PREÇOS COLETADOS'!AD68</f>
        <v>5</v>
      </c>
      <c r="H44" s="44">
        <f t="shared" si="1"/>
        <v>30</v>
      </c>
    </row>
    <row r="45" spans="2:8" ht="63" x14ac:dyDescent="0.25">
      <c r="B45" s="8" t="s">
        <v>132</v>
      </c>
      <c r="C45" s="8" t="s">
        <v>136</v>
      </c>
      <c r="D45" s="8" t="s">
        <v>137</v>
      </c>
      <c r="E45" s="8" t="s">
        <v>70</v>
      </c>
      <c r="F45" s="8">
        <v>1</v>
      </c>
      <c r="G45" s="44">
        <f>'ANÁLISE DOS PREÇOS COLETADOS'!AD69</f>
        <v>55</v>
      </c>
      <c r="H45" s="44">
        <f t="shared" si="1"/>
        <v>55</v>
      </c>
    </row>
    <row r="46" spans="2:8" ht="63" x14ac:dyDescent="0.25">
      <c r="B46" s="8" t="s">
        <v>135</v>
      </c>
      <c r="C46" s="8" t="s">
        <v>139</v>
      </c>
      <c r="D46" s="8" t="s">
        <v>140</v>
      </c>
      <c r="E46" s="8" t="s">
        <v>70</v>
      </c>
      <c r="F46" s="8">
        <v>1</v>
      </c>
      <c r="G46" s="44">
        <f>'ANÁLISE DOS PREÇOS COLETADOS'!AD70</f>
        <v>115</v>
      </c>
      <c r="H46" s="44">
        <f t="shared" si="1"/>
        <v>115</v>
      </c>
    </row>
    <row r="47" spans="2:8" ht="63" x14ac:dyDescent="0.25">
      <c r="B47" s="8" t="s">
        <v>138</v>
      </c>
      <c r="C47" s="8" t="s">
        <v>136</v>
      </c>
      <c r="D47" s="8" t="s">
        <v>142</v>
      </c>
      <c r="E47" s="8" t="s">
        <v>70</v>
      </c>
      <c r="F47" s="8">
        <v>1</v>
      </c>
      <c r="G47" s="44">
        <f>'ANÁLISE DOS PREÇOS COLETADOS'!AD71</f>
        <v>113.33333333333333</v>
      </c>
      <c r="H47" s="44">
        <f t="shared" si="1"/>
        <v>113.33333333333333</v>
      </c>
    </row>
    <row r="48" spans="2:8" ht="63" x14ac:dyDescent="0.25">
      <c r="B48" s="8" t="s">
        <v>141</v>
      </c>
      <c r="C48" s="8" t="s">
        <v>139</v>
      </c>
      <c r="D48" s="8" t="s">
        <v>144</v>
      </c>
      <c r="E48" s="8" t="s">
        <v>70</v>
      </c>
      <c r="F48" s="8">
        <v>1</v>
      </c>
      <c r="G48" s="44">
        <f>'ANÁLISE DOS PREÇOS COLETADOS'!AD72</f>
        <v>150</v>
      </c>
      <c r="H48" s="44">
        <f t="shared" si="1"/>
        <v>150</v>
      </c>
    </row>
    <row r="49" spans="2:8" ht="31.5" x14ac:dyDescent="0.25">
      <c r="B49" s="8" t="s">
        <v>143</v>
      </c>
      <c r="C49" s="8" t="s">
        <v>146</v>
      </c>
      <c r="D49" s="8" t="s">
        <v>147</v>
      </c>
      <c r="E49" s="8" t="s">
        <v>70</v>
      </c>
      <c r="F49" s="8">
        <v>1</v>
      </c>
      <c r="G49" s="44">
        <f>'ANÁLISE DOS PREÇOS COLETADOS'!AD73</f>
        <v>10</v>
      </c>
      <c r="H49" s="44">
        <f t="shared" si="1"/>
        <v>10</v>
      </c>
    </row>
    <row r="50" spans="2:8" ht="220.5" x14ac:dyDescent="0.25">
      <c r="B50" s="8" t="s">
        <v>145</v>
      </c>
      <c r="C50" s="8" t="s">
        <v>149</v>
      </c>
      <c r="D50" s="8" t="s">
        <v>150</v>
      </c>
      <c r="E50" s="8" t="s">
        <v>70</v>
      </c>
      <c r="F50" s="8">
        <v>1</v>
      </c>
      <c r="G50" s="44">
        <f>'ANÁLISE DOS PREÇOS COLETADOS'!AD74</f>
        <v>5</v>
      </c>
      <c r="H50" s="44">
        <f t="shared" si="1"/>
        <v>5</v>
      </c>
    </row>
    <row r="51" spans="2:8" ht="252" x14ac:dyDescent="0.25">
      <c r="B51" s="122" t="s">
        <v>148</v>
      </c>
      <c r="C51" s="122" t="s">
        <v>162</v>
      </c>
      <c r="D51" s="8" t="s">
        <v>163</v>
      </c>
      <c r="E51" s="122" t="s">
        <v>7</v>
      </c>
      <c r="F51" s="122">
        <v>1</v>
      </c>
      <c r="G51" s="90">
        <f>'ANÁLISE DOS PREÇOS COLETADOS'!AD78</f>
        <v>2300</v>
      </c>
      <c r="H51" s="90">
        <f>G51*F51</f>
        <v>2300</v>
      </c>
    </row>
    <row r="52" spans="2:8" ht="15.75" x14ac:dyDescent="0.25">
      <c r="B52" s="122"/>
      <c r="C52" s="122"/>
      <c r="D52" s="8" t="s">
        <v>164</v>
      </c>
      <c r="E52" s="122"/>
      <c r="F52" s="122"/>
      <c r="G52" s="91"/>
      <c r="H52" s="91"/>
    </row>
    <row r="53" spans="2:8" ht="63" x14ac:dyDescent="0.25">
      <c r="B53" s="122"/>
      <c r="C53" s="122"/>
      <c r="D53" s="8" t="s">
        <v>165</v>
      </c>
      <c r="E53" s="122"/>
      <c r="F53" s="122"/>
      <c r="G53" s="91"/>
      <c r="H53" s="91"/>
    </row>
    <row r="54" spans="2:8" ht="110.25" x14ac:dyDescent="0.25">
      <c r="B54" s="8" t="s">
        <v>151</v>
      </c>
      <c r="C54" s="8" t="s">
        <v>167</v>
      </c>
      <c r="D54" s="8" t="s">
        <v>168</v>
      </c>
      <c r="E54" s="8" t="s">
        <v>154</v>
      </c>
      <c r="F54" s="8">
        <v>1</v>
      </c>
      <c r="G54" s="44">
        <f>'ANÁLISE DOS PREÇOS COLETADOS'!AD81</f>
        <v>64.52</v>
      </c>
      <c r="H54" s="44">
        <f>G54*F54</f>
        <v>64.52</v>
      </c>
    </row>
    <row r="55" spans="2:8" ht="31.5" x14ac:dyDescent="0.25">
      <c r="B55" s="8" t="s">
        <v>155</v>
      </c>
      <c r="C55" s="8" t="s">
        <v>170</v>
      </c>
      <c r="D55" s="8" t="s">
        <v>641</v>
      </c>
      <c r="E55" s="8" t="s">
        <v>12</v>
      </c>
      <c r="F55" s="8">
        <v>1</v>
      </c>
      <c r="G55" s="44">
        <f>'ANÁLISE DOS PREÇOS COLETADOS'!AD82</f>
        <v>6</v>
      </c>
      <c r="H55" s="44">
        <f t="shared" ref="H55:H73" si="2">G55*F55</f>
        <v>6</v>
      </c>
    </row>
    <row r="56" spans="2:8" ht="31.5" x14ac:dyDescent="0.25">
      <c r="B56" s="8" t="s">
        <v>158</v>
      </c>
      <c r="C56" s="8" t="s">
        <v>173</v>
      </c>
      <c r="D56" s="8" t="s">
        <v>642</v>
      </c>
      <c r="E56" s="8" t="s">
        <v>12</v>
      </c>
      <c r="F56" s="8">
        <v>1</v>
      </c>
      <c r="G56" s="44">
        <f>'ANÁLISE DOS PREÇOS COLETADOS'!AD84</f>
        <v>35</v>
      </c>
      <c r="H56" s="44">
        <f t="shared" si="2"/>
        <v>35</v>
      </c>
    </row>
    <row r="57" spans="2:8" ht="31.5" x14ac:dyDescent="0.25">
      <c r="B57" s="8" t="s">
        <v>161</v>
      </c>
      <c r="C57" s="8" t="s">
        <v>176</v>
      </c>
      <c r="D57" s="8" t="s">
        <v>643</v>
      </c>
      <c r="E57" s="8" t="s">
        <v>12</v>
      </c>
      <c r="F57" s="8">
        <v>1</v>
      </c>
      <c r="G57" s="44">
        <f>'ANÁLISE DOS PREÇOS COLETADOS'!AD85</f>
        <v>52.5</v>
      </c>
      <c r="H57" s="44">
        <f t="shared" si="2"/>
        <v>52.5</v>
      </c>
    </row>
    <row r="58" spans="2:8" ht="336" customHeight="1" x14ac:dyDescent="0.25">
      <c r="B58" s="66" t="s">
        <v>166</v>
      </c>
      <c r="C58" s="66" t="s">
        <v>179</v>
      </c>
      <c r="D58" s="66" t="s">
        <v>803</v>
      </c>
      <c r="E58" s="66" t="s">
        <v>804</v>
      </c>
      <c r="F58" s="66">
        <v>1</v>
      </c>
      <c r="G58" s="44">
        <f>'ANÁLISE DOS PREÇOS COLETADOS'!AD87</f>
        <v>106.66666666666667</v>
      </c>
      <c r="H58" s="44">
        <f t="shared" si="2"/>
        <v>106.66666666666667</v>
      </c>
    </row>
    <row r="59" spans="2:8" ht="336.75" customHeight="1" x14ac:dyDescent="0.25">
      <c r="B59" s="66" t="s">
        <v>169</v>
      </c>
      <c r="C59" s="66" t="s">
        <v>441</v>
      </c>
      <c r="D59" s="66" t="s">
        <v>803</v>
      </c>
      <c r="E59" s="66" t="s">
        <v>804</v>
      </c>
      <c r="F59" s="66">
        <v>1</v>
      </c>
      <c r="G59" s="44">
        <f>'ANÁLISE DOS PREÇOS COLETADOS'!AD88</f>
        <v>106.66666666666667</v>
      </c>
      <c r="H59" s="44">
        <f t="shared" si="2"/>
        <v>106.66666666666667</v>
      </c>
    </row>
    <row r="60" spans="2:8" ht="226.5" customHeight="1" x14ac:dyDescent="0.25">
      <c r="B60" s="8" t="s">
        <v>172</v>
      </c>
      <c r="C60" s="8" t="s">
        <v>443</v>
      </c>
      <c r="D60" s="8" t="s">
        <v>188</v>
      </c>
      <c r="E60" s="8" t="s">
        <v>7</v>
      </c>
      <c r="F60" s="8">
        <v>1</v>
      </c>
      <c r="G60" s="44">
        <f>'ANÁLISE DOS PREÇOS COLETADOS'!AD90</f>
        <v>448.48750000000001</v>
      </c>
      <c r="H60" s="44">
        <f t="shared" si="2"/>
        <v>448.48750000000001</v>
      </c>
    </row>
    <row r="61" spans="2:8" ht="204.75" x14ac:dyDescent="0.25">
      <c r="B61" s="8" t="s">
        <v>175</v>
      </c>
      <c r="C61" s="8" t="s">
        <v>190</v>
      </c>
      <c r="D61" s="8" t="s">
        <v>191</v>
      </c>
      <c r="E61" s="8" t="s">
        <v>7</v>
      </c>
      <c r="F61" s="8">
        <v>1</v>
      </c>
      <c r="G61" s="44">
        <f>'ANÁLISE DOS PREÇOS COLETADOS'!AD91</f>
        <v>200</v>
      </c>
      <c r="H61" s="44">
        <f t="shared" si="2"/>
        <v>200</v>
      </c>
    </row>
    <row r="62" spans="2:8" ht="204.75" x14ac:dyDescent="0.25">
      <c r="B62" s="8" t="s">
        <v>178</v>
      </c>
      <c r="C62" s="8" t="s">
        <v>193</v>
      </c>
      <c r="D62" s="8" t="s">
        <v>194</v>
      </c>
      <c r="E62" s="8" t="s">
        <v>7</v>
      </c>
      <c r="F62" s="8">
        <v>1</v>
      </c>
      <c r="G62" s="44">
        <f>'ANÁLISE DOS PREÇOS COLETADOS'!AD92</f>
        <v>1255</v>
      </c>
      <c r="H62" s="44">
        <f t="shared" si="2"/>
        <v>1255</v>
      </c>
    </row>
    <row r="63" spans="2:8" ht="15.75" x14ac:dyDescent="0.25">
      <c r="B63" s="8" t="s">
        <v>182</v>
      </c>
      <c r="C63" s="8" t="s">
        <v>201</v>
      </c>
      <c r="D63" s="8" t="s">
        <v>199</v>
      </c>
      <c r="E63" s="8" t="s">
        <v>70</v>
      </c>
      <c r="F63" s="8">
        <v>1</v>
      </c>
      <c r="G63" s="44">
        <f>'ANÁLISE DOS PREÇOS COLETADOS'!AD94</f>
        <v>8</v>
      </c>
      <c r="H63" s="44">
        <f t="shared" si="2"/>
        <v>8</v>
      </c>
    </row>
    <row r="64" spans="2:8" ht="15.75" x14ac:dyDescent="0.25">
      <c r="B64" s="8" t="s">
        <v>186</v>
      </c>
      <c r="C64" s="8" t="s">
        <v>198</v>
      </c>
      <c r="D64" s="8" t="s">
        <v>202</v>
      </c>
      <c r="E64" s="8" t="s">
        <v>70</v>
      </c>
      <c r="F64" s="8">
        <v>1</v>
      </c>
      <c r="G64" s="44">
        <f>'ANÁLISE DOS PREÇOS COLETADOS'!AD95</f>
        <v>15</v>
      </c>
      <c r="H64" s="44">
        <f t="shared" si="2"/>
        <v>15</v>
      </c>
    </row>
    <row r="65" spans="2:8" ht="78.75" x14ac:dyDescent="0.25">
      <c r="B65" s="8" t="s">
        <v>189</v>
      </c>
      <c r="C65" s="8" t="s">
        <v>644</v>
      </c>
      <c r="D65" s="8" t="s">
        <v>645</v>
      </c>
      <c r="E65" s="8" t="s">
        <v>70</v>
      </c>
      <c r="F65" s="8">
        <v>1</v>
      </c>
      <c r="G65" s="44">
        <f>'ANÁLISE DOS PREÇOS COLETADOS'!AD96</f>
        <v>73.333333333333329</v>
      </c>
      <c r="H65" s="44">
        <f t="shared" si="2"/>
        <v>73.333333333333329</v>
      </c>
    </row>
    <row r="66" spans="2:8" ht="63" x14ac:dyDescent="0.25">
      <c r="B66" s="8" t="s">
        <v>192</v>
      </c>
      <c r="C66" s="8" t="s">
        <v>445</v>
      </c>
      <c r="D66" s="8" t="s">
        <v>646</v>
      </c>
      <c r="E66" s="8" t="s">
        <v>70</v>
      </c>
      <c r="F66" s="8">
        <v>1</v>
      </c>
      <c r="G66" s="44">
        <f>'ANÁLISE DOS PREÇOS COLETADOS'!AD97</f>
        <v>80</v>
      </c>
      <c r="H66" s="44">
        <f t="shared" si="2"/>
        <v>80</v>
      </c>
    </row>
    <row r="67" spans="2:8" ht="63" x14ac:dyDescent="0.25">
      <c r="B67" s="8" t="s">
        <v>195</v>
      </c>
      <c r="C67" s="8" t="s">
        <v>204</v>
      </c>
      <c r="D67" s="8" t="s">
        <v>207</v>
      </c>
      <c r="E67" s="8" t="s">
        <v>70</v>
      </c>
      <c r="F67" s="8">
        <v>1</v>
      </c>
      <c r="G67" s="44">
        <f>'ANÁLISE DOS PREÇOS COLETADOS'!AD100</f>
        <v>50</v>
      </c>
      <c r="H67" s="44">
        <f t="shared" si="2"/>
        <v>50</v>
      </c>
    </row>
    <row r="68" spans="2:8" ht="63" x14ac:dyDescent="0.25">
      <c r="B68" s="8" t="s">
        <v>197</v>
      </c>
      <c r="C68" s="8" t="s">
        <v>204</v>
      </c>
      <c r="D68" s="8" t="s">
        <v>209</v>
      </c>
      <c r="E68" s="8" t="s">
        <v>70</v>
      </c>
      <c r="F68" s="8">
        <v>1</v>
      </c>
      <c r="G68" s="44">
        <f>'ANÁLISE DOS PREÇOS COLETADOS'!AD97</f>
        <v>80</v>
      </c>
      <c r="H68" s="44">
        <f t="shared" si="2"/>
        <v>80</v>
      </c>
    </row>
    <row r="69" spans="2:8" ht="63" x14ac:dyDescent="0.25">
      <c r="B69" s="8" t="s">
        <v>200</v>
      </c>
      <c r="C69" s="8" t="s">
        <v>445</v>
      </c>
      <c r="D69" s="8" t="s">
        <v>211</v>
      </c>
      <c r="E69" s="8" t="s">
        <v>70</v>
      </c>
      <c r="F69" s="8">
        <v>1</v>
      </c>
      <c r="G69" s="44">
        <f>'ANÁLISE DOS PREÇOS COLETADOS'!AD101</f>
        <v>66</v>
      </c>
      <c r="H69" s="44">
        <f t="shared" si="2"/>
        <v>66</v>
      </c>
    </row>
    <row r="70" spans="2:8" ht="63" x14ac:dyDescent="0.25">
      <c r="B70" s="8" t="s">
        <v>203</v>
      </c>
      <c r="C70" s="8" t="s">
        <v>204</v>
      </c>
      <c r="D70" s="8" t="s">
        <v>213</v>
      </c>
      <c r="E70" s="8" t="s">
        <v>70</v>
      </c>
      <c r="F70" s="8">
        <v>1</v>
      </c>
      <c r="G70" s="44">
        <f>'ANÁLISE DOS PREÇOS COLETADOS'!AD102</f>
        <v>71.5</v>
      </c>
      <c r="H70" s="44">
        <f t="shared" si="2"/>
        <v>71.5</v>
      </c>
    </row>
    <row r="71" spans="2:8" ht="78.75" customHeight="1" x14ac:dyDescent="0.25">
      <c r="B71" s="8" t="s">
        <v>206</v>
      </c>
      <c r="C71" s="8" t="s">
        <v>216</v>
      </c>
      <c r="D71" s="8" t="s">
        <v>217</v>
      </c>
      <c r="E71" s="8" t="s">
        <v>70</v>
      </c>
      <c r="F71" s="8">
        <v>1</v>
      </c>
      <c r="G71" s="44">
        <f>'ANÁLISE DOS PREÇOS COLETADOS'!AD104</f>
        <v>50</v>
      </c>
      <c r="H71" s="44">
        <f t="shared" si="2"/>
        <v>50</v>
      </c>
    </row>
    <row r="72" spans="2:8" ht="31.5" x14ac:dyDescent="0.25">
      <c r="B72" s="8" t="s">
        <v>208</v>
      </c>
      <c r="C72" s="8" t="s">
        <v>219</v>
      </c>
      <c r="D72" s="8" t="s">
        <v>220</v>
      </c>
      <c r="E72" s="8" t="s">
        <v>70</v>
      </c>
      <c r="F72" s="8">
        <v>1</v>
      </c>
      <c r="G72" s="44">
        <f>'ANÁLISE DOS PREÇOS COLETADOS'!AD105</f>
        <v>100</v>
      </c>
      <c r="H72" s="44">
        <f t="shared" si="2"/>
        <v>100</v>
      </c>
    </row>
    <row r="73" spans="2:8" ht="78.75" x14ac:dyDescent="0.25">
      <c r="B73" s="8" t="s">
        <v>210</v>
      </c>
      <c r="C73" s="8" t="s">
        <v>226</v>
      </c>
      <c r="D73" s="8" t="s">
        <v>227</v>
      </c>
      <c r="E73" s="8" t="s">
        <v>70</v>
      </c>
      <c r="F73" s="8">
        <v>3</v>
      </c>
      <c r="G73" s="44">
        <f>'ANÁLISE DOS PREÇOS COLETADOS'!AD107</f>
        <v>5</v>
      </c>
      <c r="H73" s="44">
        <f t="shared" si="2"/>
        <v>15</v>
      </c>
    </row>
    <row r="74" spans="2:8" ht="15.75" x14ac:dyDescent="0.25">
      <c r="B74" s="84" t="s">
        <v>401</v>
      </c>
      <c r="C74" s="84"/>
      <c r="D74" s="84"/>
      <c r="E74" s="84"/>
      <c r="F74" s="84"/>
      <c r="G74" s="118">
        <f>SUM(H24:H73)</f>
        <v>12141.716666666665</v>
      </c>
      <c r="H74" s="78"/>
    </row>
    <row r="75" spans="2:8" ht="15.75" customHeight="1" x14ac:dyDescent="0.25">
      <c r="B75" s="84" t="s">
        <v>228</v>
      </c>
      <c r="C75" s="84"/>
      <c r="D75" s="84"/>
      <c r="E75" s="84"/>
      <c r="F75" s="84"/>
      <c r="G75" s="84"/>
      <c r="H75" s="84"/>
    </row>
    <row r="76" spans="2:8" ht="55.5" customHeight="1" x14ac:dyDescent="0.25">
      <c r="B76" s="11" t="s">
        <v>1</v>
      </c>
      <c r="C76" s="11" t="s">
        <v>2</v>
      </c>
      <c r="D76" s="11" t="s">
        <v>3</v>
      </c>
      <c r="E76" s="11" t="s">
        <v>396</v>
      </c>
      <c r="F76" s="11" t="s">
        <v>4</v>
      </c>
      <c r="G76" s="47" t="s">
        <v>759</v>
      </c>
      <c r="H76" s="47" t="s">
        <v>767</v>
      </c>
    </row>
    <row r="77" spans="2:8" ht="110.25" x14ac:dyDescent="0.25">
      <c r="B77" s="8" t="s">
        <v>229</v>
      </c>
      <c r="C77" s="8" t="s">
        <v>450</v>
      </c>
      <c r="D77" s="8" t="s">
        <v>451</v>
      </c>
      <c r="E77" s="8" t="s">
        <v>244</v>
      </c>
      <c r="F77" s="8">
        <v>1</v>
      </c>
      <c r="G77" s="44">
        <f>'ANÁLISE DOS PREÇOS COLETADOS'!AD110</f>
        <v>85</v>
      </c>
      <c r="H77" s="44">
        <f>G77*F77</f>
        <v>85</v>
      </c>
    </row>
    <row r="78" spans="2:8" ht="141.75" x14ac:dyDescent="0.25">
      <c r="B78" s="8" t="s">
        <v>233</v>
      </c>
      <c r="C78" s="8" t="s">
        <v>230</v>
      </c>
      <c r="D78" s="8" t="s">
        <v>231</v>
      </c>
      <c r="E78" s="8" t="s">
        <v>232</v>
      </c>
      <c r="F78" s="8">
        <v>1</v>
      </c>
      <c r="G78" s="44">
        <f>'ANÁLISE DOS PREÇOS COLETADOS'!AD111</f>
        <v>170.83333333333334</v>
      </c>
      <c r="H78" s="44">
        <f>G78*F78</f>
        <v>170.83333333333334</v>
      </c>
    </row>
    <row r="79" spans="2:8" ht="141.75" x14ac:dyDescent="0.25">
      <c r="B79" s="122" t="s">
        <v>245</v>
      </c>
      <c r="C79" s="122" t="s">
        <v>234</v>
      </c>
      <c r="D79" s="8" t="s">
        <v>235</v>
      </c>
      <c r="E79" s="122" t="s">
        <v>244</v>
      </c>
      <c r="F79" s="122">
        <v>1</v>
      </c>
      <c r="G79" s="90">
        <f>'ANÁLISE DOS PREÇOS COLETADOS'!AD112</f>
        <v>133.33333333333334</v>
      </c>
      <c r="H79" s="90">
        <f>G79*F79</f>
        <v>133.33333333333334</v>
      </c>
    </row>
    <row r="80" spans="2:8" ht="63" x14ac:dyDescent="0.25">
      <c r="B80" s="122"/>
      <c r="C80" s="122"/>
      <c r="D80" s="8" t="s">
        <v>236</v>
      </c>
      <c r="E80" s="122"/>
      <c r="F80" s="122"/>
      <c r="G80" s="91"/>
      <c r="H80" s="91"/>
    </row>
    <row r="81" spans="2:8" ht="78.75" x14ac:dyDescent="0.25">
      <c r="B81" s="122"/>
      <c r="C81" s="122"/>
      <c r="D81" s="8" t="s">
        <v>237</v>
      </c>
      <c r="E81" s="122"/>
      <c r="F81" s="122"/>
      <c r="G81" s="91"/>
      <c r="H81" s="91"/>
    </row>
    <row r="82" spans="2:8" ht="78.75" x14ac:dyDescent="0.25">
      <c r="B82" s="122"/>
      <c r="C82" s="122"/>
      <c r="D82" s="8" t="s">
        <v>238</v>
      </c>
      <c r="E82" s="122"/>
      <c r="F82" s="122"/>
      <c r="G82" s="91"/>
      <c r="H82" s="91"/>
    </row>
    <row r="83" spans="2:8" ht="63" x14ac:dyDescent="0.25">
      <c r="B83" s="122"/>
      <c r="C83" s="122"/>
      <c r="D83" s="8" t="s">
        <v>239</v>
      </c>
      <c r="E83" s="122"/>
      <c r="F83" s="122"/>
      <c r="G83" s="91"/>
      <c r="H83" s="91"/>
    </row>
    <row r="84" spans="2:8" ht="126" x14ac:dyDescent="0.25">
      <c r="B84" s="122"/>
      <c r="C84" s="122"/>
      <c r="D84" s="8" t="s">
        <v>240</v>
      </c>
      <c r="E84" s="122"/>
      <c r="F84" s="122"/>
      <c r="G84" s="91"/>
      <c r="H84" s="91"/>
    </row>
    <row r="85" spans="2:8" ht="31.5" x14ac:dyDescent="0.25">
      <c r="B85" s="122"/>
      <c r="C85" s="122"/>
      <c r="D85" s="8" t="s">
        <v>241</v>
      </c>
      <c r="E85" s="122"/>
      <c r="F85" s="122"/>
      <c r="G85" s="91"/>
      <c r="H85" s="91"/>
    </row>
    <row r="86" spans="2:8" ht="110.25" x14ac:dyDescent="0.25">
      <c r="B86" s="122"/>
      <c r="C86" s="122"/>
      <c r="D86" s="8" t="s">
        <v>242</v>
      </c>
      <c r="E86" s="122"/>
      <c r="F86" s="122"/>
      <c r="G86" s="91"/>
      <c r="H86" s="91"/>
    </row>
    <row r="87" spans="2:8" ht="47.25" x14ac:dyDescent="0.25">
      <c r="B87" s="122"/>
      <c r="C87" s="122"/>
      <c r="D87" s="8" t="s">
        <v>243</v>
      </c>
      <c r="E87" s="122"/>
      <c r="F87" s="122"/>
      <c r="G87" s="91"/>
      <c r="H87" s="91"/>
    </row>
    <row r="88" spans="2:8" ht="63" x14ac:dyDescent="0.25">
      <c r="B88" s="8" t="s">
        <v>248</v>
      </c>
      <c r="C88" s="8" t="s">
        <v>647</v>
      </c>
      <c r="D88" s="8" t="s">
        <v>648</v>
      </c>
      <c r="E88" s="8" t="s">
        <v>244</v>
      </c>
      <c r="F88" s="8">
        <v>1</v>
      </c>
      <c r="G88" s="44">
        <f>'ANÁLISE DOS PREÇOS COLETADOS'!AD121</f>
        <v>133.33333333333334</v>
      </c>
      <c r="H88" s="44">
        <f>G88*F88</f>
        <v>133.33333333333334</v>
      </c>
    </row>
    <row r="89" spans="2:8" ht="189" x14ac:dyDescent="0.25">
      <c r="B89" s="8" t="s">
        <v>251</v>
      </c>
      <c r="C89" s="8" t="s">
        <v>246</v>
      </c>
      <c r="D89" s="8" t="s">
        <v>247</v>
      </c>
      <c r="E89" s="8" t="s">
        <v>244</v>
      </c>
      <c r="F89" s="8">
        <v>1</v>
      </c>
      <c r="G89" s="44">
        <f>'ANÁLISE DOS PREÇOS COLETADOS'!AD122</f>
        <v>80</v>
      </c>
      <c r="H89" s="44">
        <f t="shared" ref="H89:H101" si="3">G89*F89</f>
        <v>80</v>
      </c>
    </row>
    <row r="90" spans="2:8" ht="31.5" x14ac:dyDescent="0.25">
      <c r="B90" s="8" t="s">
        <v>254</v>
      </c>
      <c r="C90" s="8" t="s">
        <v>249</v>
      </c>
      <c r="D90" s="8" t="s">
        <v>250</v>
      </c>
      <c r="E90" s="8" t="s">
        <v>244</v>
      </c>
      <c r="F90" s="8">
        <v>1</v>
      </c>
      <c r="G90" s="44">
        <f>'ANÁLISE DOS PREÇOS COLETADOS'!AD124</f>
        <v>115</v>
      </c>
      <c r="H90" s="44">
        <f t="shared" si="3"/>
        <v>115</v>
      </c>
    </row>
    <row r="91" spans="2:8" ht="141.75" x14ac:dyDescent="0.25">
      <c r="B91" s="8" t="s">
        <v>257</v>
      </c>
      <c r="C91" s="8" t="s">
        <v>252</v>
      </c>
      <c r="D91" s="8" t="s">
        <v>253</v>
      </c>
      <c r="E91" s="8" t="s">
        <v>154</v>
      </c>
      <c r="F91" s="8">
        <v>2</v>
      </c>
      <c r="G91" s="44">
        <f>'ANÁLISE DOS PREÇOS COLETADOS'!AD125</f>
        <v>193.75</v>
      </c>
      <c r="H91" s="44">
        <f t="shared" si="3"/>
        <v>387.5</v>
      </c>
    </row>
    <row r="92" spans="2:8" ht="63" x14ac:dyDescent="0.25">
      <c r="B92" s="8" t="s">
        <v>260</v>
      </c>
      <c r="C92" s="8" t="s">
        <v>255</v>
      </c>
      <c r="D92" s="8" t="s">
        <v>256</v>
      </c>
      <c r="E92" s="8" t="s">
        <v>244</v>
      </c>
      <c r="F92" s="8">
        <v>1</v>
      </c>
      <c r="G92" s="44">
        <f>'ANÁLISE DOS PREÇOS COLETADOS'!AD126</f>
        <v>650</v>
      </c>
      <c r="H92" s="44">
        <f t="shared" si="3"/>
        <v>650</v>
      </c>
    </row>
    <row r="93" spans="2:8" ht="78.75" x14ac:dyDescent="0.25">
      <c r="B93" s="8" t="s">
        <v>263</v>
      </c>
      <c r="C93" s="8" t="s">
        <v>258</v>
      </c>
      <c r="D93" s="8" t="s">
        <v>259</v>
      </c>
      <c r="E93" s="8" t="s">
        <v>244</v>
      </c>
      <c r="F93" s="8">
        <v>1</v>
      </c>
      <c r="G93" s="44">
        <f>'ANÁLISE DOS PREÇOS COLETADOS'!AD127</f>
        <v>144.25</v>
      </c>
      <c r="H93" s="44">
        <f t="shared" si="3"/>
        <v>144.25</v>
      </c>
    </row>
    <row r="94" spans="2:8" ht="31.5" x14ac:dyDescent="0.25">
      <c r="B94" s="8" t="s">
        <v>266</v>
      </c>
      <c r="C94" s="8" t="s">
        <v>454</v>
      </c>
      <c r="D94" s="8" t="s">
        <v>455</v>
      </c>
      <c r="E94" s="8" t="s">
        <v>244</v>
      </c>
      <c r="F94" s="8">
        <v>1</v>
      </c>
      <c r="G94" s="44">
        <f>'ANÁLISE DOS PREÇOS COLETADOS'!AD128</f>
        <v>140</v>
      </c>
      <c r="H94" s="44">
        <f t="shared" si="3"/>
        <v>140</v>
      </c>
    </row>
    <row r="95" spans="2:8" ht="31.5" x14ac:dyDescent="0.25">
      <c r="B95" s="8" t="s">
        <v>269</v>
      </c>
      <c r="C95" s="8" t="s">
        <v>261</v>
      </c>
      <c r="D95" s="8" t="s">
        <v>262</v>
      </c>
      <c r="E95" s="8" t="s">
        <v>244</v>
      </c>
      <c r="F95" s="8">
        <v>1</v>
      </c>
      <c r="G95" s="44">
        <f>'ANÁLISE DOS PREÇOS COLETADOS'!AD129</f>
        <v>200</v>
      </c>
      <c r="H95" s="44">
        <f t="shared" si="3"/>
        <v>200</v>
      </c>
    </row>
    <row r="96" spans="2:8" ht="63" x14ac:dyDescent="0.25">
      <c r="B96" s="8" t="s">
        <v>272</v>
      </c>
      <c r="C96" s="8" t="s">
        <v>264</v>
      </c>
      <c r="D96" s="8" t="s">
        <v>265</v>
      </c>
      <c r="E96" s="8" t="s">
        <v>244</v>
      </c>
      <c r="F96" s="8">
        <v>1</v>
      </c>
      <c r="G96" s="44">
        <f>'ANÁLISE DOS PREÇOS COLETADOS'!AD130</f>
        <v>170.66666666666666</v>
      </c>
      <c r="H96" s="44">
        <f t="shared" si="3"/>
        <v>170.66666666666666</v>
      </c>
    </row>
    <row r="97" spans="2:8" ht="47.25" x14ac:dyDescent="0.25">
      <c r="B97" s="8" t="s">
        <v>275</v>
      </c>
      <c r="C97" s="8" t="s">
        <v>267</v>
      </c>
      <c r="D97" s="8" t="s">
        <v>268</v>
      </c>
      <c r="E97" s="8" t="s">
        <v>244</v>
      </c>
      <c r="F97" s="8">
        <v>1</v>
      </c>
      <c r="G97" s="44">
        <f>'ANÁLISE DOS PREÇOS COLETADOS'!AD131</f>
        <v>137.5</v>
      </c>
      <c r="H97" s="44">
        <f t="shared" si="3"/>
        <v>137.5</v>
      </c>
    </row>
    <row r="98" spans="2:8" ht="94.5" x14ac:dyDescent="0.25">
      <c r="B98" s="8" t="s">
        <v>278</v>
      </c>
      <c r="C98" s="8" t="s">
        <v>273</v>
      </c>
      <c r="D98" s="8" t="s">
        <v>274</v>
      </c>
      <c r="E98" s="8" t="s">
        <v>244</v>
      </c>
      <c r="F98" s="8">
        <v>1</v>
      </c>
      <c r="G98" s="44">
        <f>'ANÁLISE DOS PREÇOS COLETADOS'!AD138</f>
        <v>150</v>
      </c>
      <c r="H98" s="44">
        <f t="shared" si="3"/>
        <v>150</v>
      </c>
    </row>
    <row r="99" spans="2:8" ht="47.25" x14ac:dyDescent="0.25">
      <c r="B99" s="8" t="s">
        <v>281</v>
      </c>
      <c r="C99" s="8" t="s">
        <v>462</v>
      </c>
      <c r="D99" s="8" t="s">
        <v>463</v>
      </c>
      <c r="E99" s="8" t="s">
        <v>244</v>
      </c>
      <c r="F99" s="8">
        <v>1</v>
      </c>
      <c r="G99" s="44">
        <f>'ANÁLISE DOS PREÇOS COLETADOS'!AD139</f>
        <v>133.33333333333334</v>
      </c>
      <c r="H99" s="44">
        <f t="shared" si="3"/>
        <v>133.33333333333334</v>
      </c>
    </row>
    <row r="100" spans="2:8" ht="63" x14ac:dyDescent="0.25">
      <c r="B100" s="8" t="s">
        <v>285</v>
      </c>
      <c r="C100" s="8" t="s">
        <v>276</v>
      </c>
      <c r="D100" s="8" t="s">
        <v>277</v>
      </c>
      <c r="E100" s="8" t="s">
        <v>244</v>
      </c>
      <c r="F100" s="8">
        <v>1</v>
      </c>
      <c r="G100" s="44">
        <f>'ANÁLISE DOS PREÇOS COLETADOS'!AD140</f>
        <v>105</v>
      </c>
      <c r="H100" s="44">
        <f t="shared" si="3"/>
        <v>105</v>
      </c>
    </row>
    <row r="101" spans="2:8" ht="141.75" x14ac:dyDescent="0.25">
      <c r="B101" s="8" t="s">
        <v>460</v>
      </c>
      <c r="C101" s="8" t="s">
        <v>649</v>
      </c>
      <c r="D101" s="8" t="s">
        <v>650</v>
      </c>
      <c r="E101" s="8" t="s">
        <v>154</v>
      </c>
      <c r="F101" s="8">
        <v>1</v>
      </c>
      <c r="G101" s="44">
        <f>'ANÁLISE DOS PREÇOS COLETADOS'!AD141</f>
        <v>55.208333333333329</v>
      </c>
      <c r="H101" s="44">
        <f t="shared" si="3"/>
        <v>55.208333333333329</v>
      </c>
    </row>
    <row r="102" spans="2:8" ht="15.75" x14ac:dyDescent="0.25">
      <c r="B102" s="84" t="s">
        <v>402</v>
      </c>
      <c r="C102" s="84"/>
      <c r="D102" s="84"/>
      <c r="E102" s="84"/>
      <c r="F102" s="84"/>
      <c r="G102" s="118">
        <f>SUM(H77:H101)</f>
        <v>2990.9583333333335</v>
      </c>
      <c r="H102" s="78"/>
    </row>
    <row r="103" spans="2:8" ht="15.75" customHeight="1" x14ac:dyDescent="0.25">
      <c r="B103" s="84" t="s">
        <v>288</v>
      </c>
      <c r="C103" s="84"/>
      <c r="D103" s="84"/>
      <c r="E103" s="84"/>
      <c r="F103" s="84"/>
      <c r="G103" s="84"/>
      <c r="H103" s="84"/>
    </row>
    <row r="104" spans="2:8" ht="62.25" customHeight="1" x14ac:dyDescent="0.25">
      <c r="B104" s="11" t="s">
        <v>1</v>
      </c>
      <c r="C104" s="11" t="s">
        <v>2</v>
      </c>
      <c r="D104" s="11" t="s">
        <v>3</v>
      </c>
      <c r="E104" s="11" t="s">
        <v>396</v>
      </c>
      <c r="F104" s="11" t="s">
        <v>4</v>
      </c>
      <c r="G104" s="47" t="s">
        <v>759</v>
      </c>
      <c r="H104" s="47" t="s">
        <v>767</v>
      </c>
    </row>
    <row r="105" spans="2:8" ht="47.25" x14ac:dyDescent="0.25">
      <c r="B105" s="8" t="s">
        <v>289</v>
      </c>
      <c r="C105" s="8" t="s">
        <v>479</v>
      </c>
      <c r="D105" s="8" t="s">
        <v>480</v>
      </c>
      <c r="E105" s="8" t="s">
        <v>481</v>
      </c>
      <c r="F105" s="8">
        <v>8</v>
      </c>
      <c r="G105" s="44">
        <f>'ANÁLISE DOS PREÇOS COLETADOS'!AD150</f>
        <v>70</v>
      </c>
      <c r="H105" s="44">
        <f>G105*F105</f>
        <v>560</v>
      </c>
    </row>
    <row r="106" spans="2:8" ht="31.5" x14ac:dyDescent="0.25">
      <c r="B106" s="8" t="s">
        <v>292</v>
      </c>
      <c r="C106" s="8" t="s">
        <v>479</v>
      </c>
      <c r="D106" s="8" t="s">
        <v>482</v>
      </c>
      <c r="E106" s="8" t="s">
        <v>12</v>
      </c>
      <c r="F106" s="8">
        <v>5</v>
      </c>
      <c r="G106" s="44">
        <f>'ANÁLISE DOS PREÇOS COLETADOS'!AD151</f>
        <v>262.5</v>
      </c>
      <c r="H106" s="44">
        <f t="shared" ref="H106:H152" si="4">G106*F106</f>
        <v>1312.5</v>
      </c>
    </row>
    <row r="107" spans="2:8" ht="31.5" x14ac:dyDescent="0.25">
      <c r="B107" s="8" t="s">
        <v>295</v>
      </c>
      <c r="C107" s="8" t="s">
        <v>651</v>
      </c>
      <c r="D107" s="8" t="s">
        <v>652</v>
      </c>
      <c r="E107" s="8" t="s">
        <v>12</v>
      </c>
      <c r="F107" s="8">
        <v>5</v>
      </c>
      <c r="G107" s="44">
        <f>'ANÁLISE DOS PREÇOS COLETADOS'!AD152</f>
        <v>220.375</v>
      </c>
      <c r="H107" s="44">
        <f t="shared" si="4"/>
        <v>1101.875</v>
      </c>
    </row>
    <row r="108" spans="2:8" ht="63" x14ac:dyDescent="0.25">
      <c r="B108" s="8" t="s">
        <v>298</v>
      </c>
      <c r="C108" s="8" t="s">
        <v>293</v>
      </c>
      <c r="D108" s="8" t="s">
        <v>294</v>
      </c>
      <c r="E108" s="8" t="s">
        <v>70</v>
      </c>
      <c r="F108" s="8">
        <v>1</v>
      </c>
      <c r="G108" s="44">
        <f>'ANÁLISE DOS PREÇOS COLETADOS'!AD153</f>
        <v>550</v>
      </c>
      <c r="H108" s="44">
        <f t="shared" si="4"/>
        <v>550</v>
      </c>
    </row>
    <row r="109" spans="2:8" ht="31.5" x14ac:dyDescent="0.25">
      <c r="B109" s="8" t="s">
        <v>302</v>
      </c>
      <c r="C109" s="8" t="s">
        <v>487</v>
      </c>
      <c r="D109" s="8" t="s">
        <v>488</v>
      </c>
      <c r="E109" s="8" t="s">
        <v>70</v>
      </c>
      <c r="F109" s="8">
        <v>1</v>
      </c>
      <c r="G109" s="44">
        <f>'ANÁLISE DOS PREÇOS COLETADOS'!AD156</f>
        <v>120</v>
      </c>
      <c r="H109" s="44">
        <f t="shared" si="4"/>
        <v>120</v>
      </c>
    </row>
    <row r="110" spans="2:8" ht="78.75" x14ac:dyDescent="0.25">
      <c r="B110" s="8" t="s">
        <v>305</v>
      </c>
      <c r="C110" s="8" t="s">
        <v>653</v>
      </c>
      <c r="D110" s="8" t="s">
        <v>489</v>
      </c>
      <c r="E110" s="8" t="s">
        <v>7</v>
      </c>
      <c r="F110" s="8">
        <v>28</v>
      </c>
      <c r="G110" s="44">
        <f>'ANÁLISE DOS PREÇOS COLETADOS'!AD157</f>
        <v>10</v>
      </c>
      <c r="H110" s="44">
        <f t="shared" si="4"/>
        <v>280</v>
      </c>
    </row>
    <row r="111" spans="2:8" ht="47.25" x14ac:dyDescent="0.25">
      <c r="B111" s="8" t="s">
        <v>309</v>
      </c>
      <c r="C111" s="8" t="s">
        <v>653</v>
      </c>
      <c r="D111" s="8" t="s">
        <v>654</v>
      </c>
      <c r="E111" s="8" t="s">
        <v>7</v>
      </c>
      <c r="F111" s="8">
        <v>28</v>
      </c>
      <c r="G111" s="44">
        <f>'ANÁLISE DOS PREÇOS COLETADOS'!AD158</f>
        <v>8</v>
      </c>
      <c r="H111" s="44">
        <f t="shared" si="4"/>
        <v>224</v>
      </c>
    </row>
    <row r="112" spans="2:8" ht="173.25" x14ac:dyDescent="0.25">
      <c r="B112" s="8" t="s">
        <v>312</v>
      </c>
      <c r="C112" s="8" t="s">
        <v>299</v>
      </c>
      <c r="D112" s="8" t="s">
        <v>300</v>
      </c>
      <c r="E112" s="8" t="s">
        <v>636</v>
      </c>
      <c r="F112" s="8">
        <v>4.32</v>
      </c>
      <c r="G112" s="44">
        <f>'ANÁLISE DOS PREÇOS COLETADOS'!AD161</f>
        <v>50</v>
      </c>
      <c r="H112" s="44">
        <f t="shared" si="4"/>
        <v>216</v>
      </c>
    </row>
    <row r="113" spans="2:8" ht="47.25" x14ac:dyDescent="0.25">
      <c r="B113" s="8" t="s">
        <v>315</v>
      </c>
      <c r="C113" s="8" t="s">
        <v>655</v>
      </c>
      <c r="D113" s="8" t="s">
        <v>304</v>
      </c>
      <c r="E113" s="8" t="s">
        <v>70</v>
      </c>
      <c r="F113" s="8">
        <v>2</v>
      </c>
      <c r="G113" s="44">
        <f>'ANÁLISE DOS PREÇOS COLETADOS'!AD163</f>
        <v>12.4</v>
      </c>
      <c r="H113" s="44">
        <f t="shared" si="4"/>
        <v>24.8</v>
      </c>
    </row>
    <row r="114" spans="2:8" ht="110.25" x14ac:dyDescent="0.25">
      <c r="B114" s="8" t="s">
        <v>318</v>
      </c>
      <c r="C114" s="8" t="s">
        <v>495</v>
      </c>
      <c r="D114" s="8" t="s">
        <v>496</v>
      </c>
      <c r="E114" s="8" t="s">
        <v>70</v>
      </c>
      <c r="F114" s="8">
        <v>5</v>
      </c>
      <c r="G114" s="44">
        <f>'ANÁLISE DOS PREÇOS COLETADOS'!AD165</f>
        <v>26.666666666666668</v>
      </c>
      <c r="H114" s="44">
        <f t="shared" si="4"/>
        <v>133.33333333333334</v>
      </c>
    </row>
    <row r="115" spans="2:8" ht="110.25" x14ac:dyDescent="0.25">
      <c r="B115" s="8" t="s">
        <v>321</v>
      </c>
      <c r="C115" s="8" t="s">
        <v>497</v>
      </c>
      <c r="D115" s="8" t="s">
        <v>498</v>
      </c>
      <c r="E115" s="8" t="s">
        <v>490</v>
      </c>
      <c r="F115" s="8">
        <v>2</v>
      </c>
      <c r="G115" s="44">
        <f>'ANÁLISE DOS PREÇOS COLETADOS'!AD166</f>
        <v>425</v>
      </c>
      <c r="H115" s="44">
        <f t="shared" si="4"/>
        <v>850</v>
      </c>
    </row>
    <row r="116" spans="2:8" ht="31.5" x14ac:dyDescent="0.25">
      <c r="B116" s="8" t="s">
        <v>324</v>
      </c>
      <c r="C116" s="8" t="s">
        <v>306</v>
      </c>
      <c r="D116" s="8" t="s">
        <v>307</v>
      </c>
      <c r="E116" s="8" t="s">
        <v>308</v>
      </c>
      <c r="F116" s="8">
        <v>24</v>
      </c>
      <c r="G116" s="44">
        <f>'ANÁLISE DOS PREÇOS COLETADOS'!AD168</f>
        <v>21.42</v>
      </c>
      <c r="H116" s="44">
        <f t="shared" si="4"/>
        <v>514.08000000000004</v>
      </c>
    </row>
    <row r="117" spans="2:8" ht="31.5" x14ac:dyDescent="0.25">
      <c r="B117" s="8" t="s">
        <v>327</v>
      </c>
      <c r="C117" s="8" t="s">
        <v>500</v>
      </c>
      <c r="D117" s="8" t="s">
        <v>501</v>
      </c>
      <c r="E117" s="8" t="s">
        <v>12</v>
      </c>
      <c r="F117" s="8">
        <v>5</v>
      </c>
      <c r="G117" s="44">
        <f>'ANÁLISE DOS PREÇOS COLETADOS'!AD169</f>
        <v>84</v>
      </c>
      <c r="H117" s="44">
        <f t="shared" si="4"/>
        <v>420</v>
      </c>
    </row>
    <row r="118" spans="2:8" ht="31.5" x14ac:dyDescent="0.25">
      <c r="B118" s="8" t="s">
        <v>330</v>
      </c>
      <c r="C118" s="8" t="s">
        <v>313</v>
      </c>
      <c r="D118" s="8" t="s">
        <v>314</v>
      </c>
      <c r="E118" s="8" t="s">
        <v>70</v>
      </c>
      <c r="F118" s="8">
        <v>40</v>
      </c>
      <c r="G118" s="44">
        <f>'ANÁLISE DOS PREÇOS COLETADOS'!AD171</f>
        <v>8.6</v>
      </c>
      <c r="H118" s="44">
        <f t="shared" si="4"/>
        <v>344</v>
      </c>
    </row>
    <row r="119" spans="2:8" ht="31.5" x14ac:dyDescent="0.25">
      <c r="B119" s="8" t="s">
        <v>333</v>
      </c>
      <c r="C119" s="8" t="s">
        <v>316</v>
      </c>
      <c r="D119" s="8" t="s">
        <v>317</v>
      </c>
      <c r="E119" s="8" t="s">
        <v>70</v>
      </c>
      <c r="F119" s="8">
        <v>40</v>
      </c>
      <c r="G119" s="44">
        <f>'ANÁLISE DOS PREÇOS COLETADOS'!AD173</f>
        <v>5</v>
      </c>
      <c r="H119" s="44">
        <f t="shared" si="4"/>
        <v>200</v>
      </c>
    </row>
    <row r="120" spans="2:8" ht="94.5" x14ac:dyDescent="0.25">
      <c r="B120" s="8" t="s">
        <v>336</v>
      </c>
      <c r="C120" s="8" t="s">
        <v>504</v>
      </c>
      <c r="D120" s="8" t="s">
        <v>505</v>
      </c>
      <c r="E120" s="8" t="s">
        <v>70</v>
      </c>
      <c r="F120" s="8">
        <v>2</v>
      </c>
      <c r="G120" s="44">
        <f>'ANÁLISE DOS PREÇOS COLETADOS'!AD175</f>
        <v>50</v>
      </c>
      <c r="H120" s="44">
        <f t="shared" si="4"/>
        <v>100</v>
      </c>
    </row>
    <row r="121" spans="2:8" ht="157.5" x14ac:dyDescent="0.25">
      <c r="B121" s="8" t="s">
        <v>339</v>
      </c>
      <c r="C121" s="8" t="s">
        <v>656</v>
      </c>
      <c r="D121" s="8" t="s">
        <v>657</v>
      </c>
      <c r="E121" s="8" t="s">
        <v>224</v>
      </c>
      <c r="F121" s="8">
        <v>40</v>
      </c>
      <c r="G121" s="44">
        <f>'ANÁLISE DOS PREÇOS COLETADOS'!AD181</f>
        <v>58.36</v>
      </c>
      <c r="H121" s="44">
        <f t="shared" si="4"/>
        <v>2334.4</v>
      </c>
    </row>
    <row r="122" spans="2:8" ht="283.5" x14ac:dyDescent="0.25">
      <c r="B122" s="8" t="s">
        <v>342</v>
      </c>
      <c r="C122" s="8" t="s">
        <v>658</v>
      </c>
      <c r="D122" s="8" t="s">
        <v>659</v>
      </c>
      <c r="E122" s="8" t="s">
        <v>224</v>
      </c>
      <c r="F122" s="8">
        <v>40</v>
      </c>
      <c r="G122" s="44">
        <f>'ANÁLISE DOS PREÇOS COLETADOS'!AD182</f>
        <v>80</v>
      </c>
      <c r="H122" s="44">
        <f t="shared" si="4"/>
        <v>3200</v>
      </c>
    </row>
    <row r="123" spans="2:8" ht="78.75" x14ac:dyDescent="0.25">
      <c r="B123" s="8" t="s">
        <v>345</v>
      </c>
      <c r="C123" s="8" t="s">
        <v>544</v>
      </c>
      <c r="D123" s="8" t="s">
        <v>545</v>
      </c>
      <c r="E123" s="8" t="s">
        <v>357</v>
      </c>
      <c r="F123" s="8">
        <v>24</v>
      </c>
      <c r="G123" s="44">
        <f>'ANÁLISE DOS PREÇOS COLETADOS'!AD197</f>
        <v>30</v>
      </c>
      <c r="H123" s="44">
        <f t="shared" si="4"/>
        <v>720</v>
      </c>
    </row>
    <row r="124" spans="2:8" ht="63" x14ac:dyDescent="0.25">
      <c r="B124" s="8" t="s">
        <v>348</v>
      </c>
      <c r="C124" s="8" t="s">
        <v>325</v>
      </c>
      <c r="D124" s="8" t="s">
        <v>326</v>
      </c>
      <c r="E124" s="8" t="s">
        <v>70</v>
      </c>
      <c r="F124" s="8">
        <v>2</v>
      </c>
      <c r="G124" s="44">
        <f>'ANÁLISE DOS PREÇOS COLETADOS'!AD186</f>
        <v>12.5</v>
      </c>
      <c r="H124" s="44">
        <f t="shared" si="4"/>
        <v>25</v>
      </c>
    </row>
    <row r="125" spans="2:8" ht="47.25" x14ac:dyDescent="0.25">
      <c r="B125" s="8" t="s">
        <v>351</v>
      </c>
      <c r="C125" s="8" t="s">
        <v>328</v>
      </c>
      <c r="D125" s="8" t="s">
        <v>329</v>
      </c>
      <c r="E125" s="8" t="s">
        <v>70</v>
      </c>
      <c r="F125" s="8">
        <v>2</v>
      </c>
      <c r="G125" s="44">
        <f>'ANÁLISE DOS PREÇOS COLETADOS'!AD187</f>
        <v>95</v>
      </c>
      <c r="H125" s="44">
        <f t="shared" si="4"/>
        <v>190</v>
      </c>
    </row>
    <row r="126" spans="2:8" ht="47.25" x14ac:dyDescent="0.25">
      <c r="B126" s="8" t="s">
        <v>354</v>
      </c>
      <c r="C126" s="8" t="s">
        <v>346</v>
      </c>
      <c r="D126" s="8" t="s">
        <v>347</v>
      </c>
      <c r="E126" s="8" t="s">
        <v>70</v>
      </c>
      <c r="F126" s="8">
        <v>3</v>
      </c>
      <c r="G126" s="44">
        <f>'ANÁLISE DOS PREÇOS COLETADOS'!AD189</f>
        <v>20</v>
      </c>
      <c r="H126" s="44">
        <f t="shared" si="4"/>
        <v>60</v>
      </c>
    </row>
    <row r="127" spans="2:8" ht="69" customHeight="1" x14ac:dyDescent="0.25">
      <c r="B127" s="8" t="s">
        <v>358</v>
      </c>
      <c r="C127" s="8" t="s">
        <v>331</v>
      </c>
      <c r="D127" s="8" t="s">
        <v>332</v>
      </c>
      <c r="E127" s="8" t="s">
        <v>70</v>
      </c>
      <c r="F127" s="8">
        <v>3</v>
      </c>
      <c r="G127" s="44">
        <f>'ANÁLISE DOS PREÇOS COLETADOS'!AD190</f>
        <v>90</v>
      </c>
      <c r="H127" s="44">
        <f t="shared" si="4"/>
        <v>270</v>
      </c>
    </row>
    <row r="128" spans="2:8" ht="77.25" customHeight="1" x14ac:dyDescent="0.25">
      <c r="B128" s="8" t="s">
        <v>362</v>
      </c>
      <c r="C128" s="8" t="s">
        <v>660</v>
      </c>
      <c r="D128" s="8" t="s">
        <v>661</v>
      </c>
      <c r="E128" s="8" t="s">
        <v>70</v>
      </c>
      <c r="F128" s="8">
        <v>1</v>
      </c>
      <c r="G128" s="44">
        <f>'ANÁLISE DOS PREÇOS COLETADOS'!AD191</f>
        <v>105</v>
      </c>
      <c r="H128" s="44">
        <f t="shared" si="4"/>
        <v>105</v>
      </c>
    </row>
    <row r="129" spans="2:8" ht="47.25" x14ac:dyDescent="0.25">
      <c r="B129" s="8" t="s">
        <v>365</v>
      </c>
      <c r="C129" s="8" t="s">
        <v>334</v>
      </c>
      <c r="D129" s="8" t="s">
        <v>662</v>
      </c>
      <c r="E129" s="8" t="s">
        <v>70</v>
      </c>
      <c r="F129" s="8">
        <v>1</v>
      </c>
      <c r="G129" s="44">
        <f>'ANÁLISE DOS PREÇOS COLETADOS'!AD192</f>
        <v>75.88666666666667</v>
      </c>
      <c r="H129" s="44">
        <f t="shared" si="4"/>
        <v>75.88666666666667</v>
      </c>
    </row>
    <row r="130" spans="2:8" ht="31.5" x14ac:dyDescent="0.25">
      <c r="B130" s="8" t="s">
        <v>368</v>
      </c>
      <c r="C130" s="8" t="s">
        <v>337</v>
      </c>
      <c r="D130" s="8" t="s">
        <v>663</v>
      </c>
      <c r="E130" s="8" t="s">
        <v>70</v>
      </c>
      <c r="F130" s="8">
        <v>2</v>
      </c>
      <c r="G130" s="44">
        <f>'ANÁLISE DOS PREÇOS COLETADOS'!AD193</f>
        <v>20</v>
      </c>
      <c r="H130" s="44">
        <f t="shared" si="4"/>
        <v>40</v>
      </c>
    </row>
    <row r="131" spans="2:8" ht="47.25" x14ac:dyDescent="0.25">
      <c r="B131" s="8" t="s">
        <v>372</v>
      </c>
      <c r="C131" s="8" t="s">
        <v>340</v>
      </c>
      <c r="D131" s="8" t="s">
        <v>341</v>
      </c>
      <c r="E131" s="8" t="s">
        <v>70</v>
      </c>
      <c r="F131" s="8">
        <v>1</v>
      </c>
      <c r="G131" s="44">
        <f>'ANÁLISE DOS PREÇOS COLETADOS'!AD194</f>
        <v>51</v>
      </c>
      <c r="H131" s="44">
        <f t="shared" si="4"/>
        <v>51</v>
      </c>
    </row>
    <row r="132" spans="2:8" ht="47.25" x14ac:dyDescent="0.25">
      <c r="B132" s="8" t="s">
        <v>513</v>
      </c>
      <c r="C132" s="8" t="s">
        <v>343</v>
      </c>
      <c r="D132" s="8" t="s">
        <v>344</v>
      </c>
      <c r="E132" s="8" t="s">
        <v>70</v>
      </c>
      <c r="F132" s="8">
        <v>2</v>
      </c>
      <c r="G132" s="44">
        <f>'ANÁLISE DOS PREÇOS COLETADOS'!AD195</f>
        <v>18</v>
      </c>
      <c r="H132" s="44">
        <f t="shared" si="4"/>
        <v>36</v>
      </c>
    </row>
    <row r="133" spans="2:8" ht="47.25" x14ac:dyDescent="0.25">
      <c r="B133" s="8" t="s">
        <v>516</v>
      </c>
      <c r="C133" s="8" t="s">
        <v>349</v>
      </c>
      <c r="D133" s="8" t="s">
        <v>350</v>
      </c>
      <c r="E133" s="8" t="s">
        <v>664</v>
      </c>
      <c r="F133" s="8">
        <v>4</v>
      </c>
      <c r="G133" s="44">
        <f>'ANÁLISE DOS PREÇOS COLETADOS'!AD198</f>
        <v>20</v>
      </c>
      <c r="H133" s="44">
        <f t="shared" si="4"/>
        <v>80</v>
      </c>
    </row>
    <row r="134" spans="2:8" ht="220.5" x14ac:dyDescent="0.25">
      <c r="B134" s="8" t="s">
        <v>517</v>
      </c>
      <c r="C134" s="8" t="s">
        <v>550</v>
      </c>
      <c r="D134" s="8" t="s">
        <v>551</v>
      </c>
      <c r="E134" s="8" t="s">
        <v>12</v>
      </c>
      <c r="F134" s="8">
        <v>1</v>
      </c>
      <c r="G134" s="44">
        <f>'ANÁLISE DOS PREÇOS COLETADOS'!AD200</f>
        <v>145</v>
      </c>
      <c r="H134" s="44">
        <f t="shared" si="4"/>
        <v>145</v>
      </c>
    </row>
    <row r="135" spans="2:8" ht="61.5" customHeight="1" x14ac:dyDescent="0.25">
      <c r="B135" s="8" t="s">
        <v>520</v>
      </c>
      <c r="C135" s="8" t="s">
        <v>355</v>
      </c>
      <c r="D135" s="8" t="s">
        <v>356</v>
      </c>
      <c r="E135" s="8" t="s">
        <v>801</v>
      </c>
      <c r="F135" s="8">
        <v>3.24</v>
      </c>
      <c r="G135" s="44">
        <f>'ANÁLISE DOS PREÇOS COLETADOS'!AD241</f>
        <v>8</v>
      </c>
      <c r="H135" s="44">
        <f t="shared" si="4"/>
        <v>25.92</v>
      </c>
    </row>
    <row r="136" spans="2:8" ht="31.5" x14ac:dyDescent="0.25">
      <c r="B136" s="8" t="s">
        <v>523</v>
      </c>
      <c r="C136" s="8" t="s">
        <v>665</v>
      </c>
      <c r="D136" s="8" t="s">
        <v>666</v>
      </c>
      <c r="E136" s="8" t="s">
        <v>70</v>
      </c>
      <c r="F136" s="8">
        <v>6</v>
      </c>
      <c r="G136" s="44">
        <f>'ANÁLISE DOS PREÇOS COLETADOS'!AD203</f>
        <v>41.666666666666664</v>
      </c>
      <c r="H136" s="44">
        <f t="shared" si="4"/>
        <v>250</v>
      </c>
    </row>
    <row r="137" spans="2:8" ht="47.25" x14ac:dyDescent="0.25">
      <c r="B137" s="8" t="s">
        <v>526</v>
      </c>
      <c r="C137" s="8" t="s">
        <v>557</v>
      </c>
      <c r="D137" s="8" t="s">
        <v>667</v>
      </c>
      <c r="E137" s="8" t="s">
        <v>70</v>
      </c>
      <c r="F137" s="8">
        <v>6</v>
      </c>
      <c r="G137" s="44">
        <f>'ANÁLISE DOS PREÇOS COLETADOS'!AD202</f>
        <v>55</v>
      </c>
      <c r="H137" s="44">
        <f t="shared" si="4"/>
        <v>330</v>
      </c>
    </row>
    <row r="138" spans="2:8" ht="63" x14ac:dyDescent="0.25">
      <c r="B138" s="8" t="s">
        <v>527</v>
      </c>
      <c r="C138" s="8" t="s">
        <v>359</v>
      </c>
      <c r="D138" s="8" t="s">
        <v>360</v>
      </c>
      <c r="E138" s="8" t="s">
        <v>361</v>
      </c>
      <c r="F138" s="8">
        <v>20</v>
      </c>
      <c r="G138" s="44">
        <f>'ANÁLISE DOS PREÇOS COLETADOS'!AD206</f>
        <v>25.5</v>
      </c>
      <c r="H138" s="44">
        <f t="shared" si="4"/>
        <v>510</v>
      </c>
    </row>
    <row r="139" spans="2:8" ht="63" x14ac:dyDescent="0.25">
      <c r="B139" s="8" t="s">
        <v>530</v>
      </c>
      <c r="C139" s="8" t="s">
        <v>363</v>
      </c>
      <c r="D139" s="8" t="s">
        <v>364</v>
      </c>
      <c r="E139" s="8" t="s">
        <v>70</v>
      </c>
      <c r="F139" s="8">
        <v>1</v>
      </c>
      <c r="G139" s="44">
        <f>'ANÁLISE DOS PREÇOS COLETADOS'!AD208</f>
        <v>40.032499999999999</v>
      </c>
      <c r="H139" s="44">
        <f t="shared" si="4"/>
        <v>40.032499999999999</v>
      </c>
    </row>
    <row r="140" spans="2:8" ht="31.5" x14ac:dyDescent="0.25">
      <c r="B140" s="8" t="s">
        <v>533</v>
      </c>
      <c r="C140" s="8" t="s">
        <v>366</v>
      </c>
      <c r="D140" s="8" t="s">
        <v>367</v>
      </c>
      <c r="E140" s="8" t="s">
        <v>70</v>
      </c>
      <c r="F140" s="8">
        <v>1</v>
      </c>
      <c r="G140" s="44">
        <f>'ANÁLISE DOS PREÇOS COLETADOS'!AD209</f>
        <v>40.465000000000003</v>
      </c>
      <c r="H140" s="44">
        <f t="shared" si="4"/>
        <v>40.465000000000003</v>
      </c>
    </row>
    <row r="141" spans="2:8" ht="31.5" x14ac:dyDescent="0.25">
      <c r="B141" s="8" t="s">
        <v>534</v>
      </c>
      <c r="C141" s="8" t="s">
        <v>668</v>
      </c>
      <c r="D141" s="8" t="s">
        <v>669</v>
      </c>
      <c r="E141" s="8" t="s">
        <v>70</v>
      </c>
      <c r="F141" s="8">
        <v>1</v>
      </c>
      <c r="G141" s="44">
        <f>'ANÁLISE DOS PREÇOS COLETADOS'!AD210</f>
        <v>35</v>
      </c>
      <c r="H141" s="44">
        <f t="shared" si="4"/>
        <v>35</v>
      </c>
    </row>
    <row r="142" spans="2:8" ht="15.75" x14ac:dyDescent="0.25">
      <c r="B142" s="8" t="s">
        <v>535</v>
      </c>
      <c r="C142" s="8" t="s">
        <v>670</v>
      </c>
      <c r="D142" s="8" t="s">
        <v>671</v>
      </c>
      <c r="E142" s="8" t="s">
        <v>636</v>
      </c>
      <c r="F142" s="8">
        <v>2</v>
      </c>
      <c r="G142" s="44">
        <f>'ANÁLISE DOS PREÇOS COLETADOS'!AD212</f>
        <v>28</v>
      </c>
      <c r="H142" s="44">
        <f t="shared" si="4"/>
        <v>56</v>
      </c>
    </row>
    <row r="143" spans="2:8" ht="31.5" x14ac:dyDescent="0.25">
      <c r="B143" s="8" t="s">
        <v>538</v>
      </c>
      <c r="C143" s="8" t="s">
        <v>569</v>
      </c>
      <c r="D143" s="8" t="s">
        <v>570</v>
      </c>
      <c r="E143" s="8" t="s">
        <v>70</v>
      </c>
      <c r="F143" s="8">
        <v>2</v>
      </c>
      <c r="G143" s="44">
        <f>'ANÁLISE DOS PREÇOS COLETADOS'!AD211</f>
        <v>50</v>
      </c>
      <c r="H143" s="44">
        <f t="shared" si="4"/>
        <v>100</v>
      </c>
    </row>
    <row r="144" spans="2:8" ht="110.25" x14ac:dyDescent="0.25">
      <c r="B144" s="8" t="s">
        <v>539</v>
      </c>
      <c r="C144" s="8" t="s">
        <v>369</v>
      </c>
      <c r="D144" s="8" t="s">
        <v>672</v>
      </c>
      <c r="E144" s="8" t="s">
        <v>371</v>
      </c>
      <c r="F144" s="8">
        <v>1</v>
      </c>
      <c r="G144" s="44">
        <f>'ANÁLISE DOS PREÇOS COLETADOS'!AD213</f>
        <v>120</v>
      </c>
      <c r="H144" s="44">
        <f t="shared" si="4"/>
        <v>120</v>
      </c>
    </row>
    <row r="145" spans="2:8" ht="78.75" customHeight="1" x14ac:dyDescent="0.25">
      <c r="B145" s="8" t="s">
        <v>541</v>
      </c>
      <c r="C145" s="8" t="s">
        <v>573</v>
      </c>
      <c r="D145" s="8" t="s">
        <v>574</v>
      </c>
      <c r="E145" s="8" t="s">
        <v>70</v>
      </c>
      <c r="F145" s="8">
        <v>1</v>
      </c>
      <c r="G145" s="44">
        <f>'ANÁLISE DOS PREÇOS COLETADOS'!AD214</f>
        <v>450</v>
      </c>
      <c r="H145" s="44">
        <f t="shared" si="4"/>
        <v>450</v>
      </c>
    </row>
    <row r="146" spans="2:8" ht="47.25" x14ac:dyDescent="0.25">
      <c r="B146" s="8" t="s">
        <v>543</v>
      </c>
      <c r="C146" s="8" t="s">
        <v>576</v>
      </c>
      <c r="D146" s="8" t="s">
        <v>574</v>
      </c>
      <c r="E146" s="8" t="s">
        <v>70</v>
      </c>
      <c r="F146" s="8">
        <v>1</v>
      </c>
      <c r="G146" s="44">
        <f>'ANÁLISE DOS PREÇOS COLETADOS'!AD215</f>
        <v>624.75</v>
      </c>
      <c r="H146" s="44">
        <f t="shared" si="4"/>
        <v>624.75</v>
      </c>
    </row>
    <row r="147" spans="2:8" ht="47.25" x14ac:dyDescent="0.25">
      <c r="B147" s="8" t="s">
        <v>546</v>
      </c>
      <c r="C147" s="8" t="s">
        <v>578</v>
      </c>
      <c r="D147" s="8" t="s">
        <v>574</v>
      </c>
      <c r="E147" s="8" t="s">
        <v>70</v>
      </c>
      <c r="F147" s="8">
        <v>2</v>
      </c>
      <c r="G147" s="44">
        <f>'ANÁLISE DOS PREÇOS COLETADOS'!AD216</f>
        <v>860</v>
      </c>
      <c r="H147" s="44">
        <f t="shared" si="4"/>
        <v>1720</v>
      </c>
    </row>
    <row r="148" spans="2:8" ht="47.25" x14ac:dyDescent="0.25">
      <c r="B148" s="8" t="s">
        <v>547</v>
      </c>
      <c r="C148" s="8" t="s">
        <v>580</v>
      </c>
      <c r="D148" s="8" t="s">
        <v>574</v>
      </c>
      <c r="E148" s="8" t="s">
        <v>70</v>
      </c>
      <c r="F148" s="8">
        <v>2</v>
      </c>
      <c r="G148" s="44">
        <f>'ANÁLISE DOS PREÇOS COLETADOS'!AD217</f>
        <v>833.33333333333337</v>
      </c>
      <c r="H148" s="44">
        <f t="shared" si="4"/>
        <v>1666.6666666666667</v>
      </c>
    </row>
    <row r="149" spans="2:8" ht="47.25" x14ac:dyDescent="0.25">
      <c r="B149" s="8" t="s">
        <v>549</v>
      </c>
      <c r="C149" s="8" t="s">
        <v>582</v>
      </c>
      <c r="D149" s="8" t="s">
        <v>574</v>
      </c>
      <c r="E149" s="8" t="s">
        <v>70</v>
      </c>
      <c r="F149" s="8">
        <v>1</v>
      </c>
      <c r="G149" s="44">
        <f>'ANÁLISE DOS PREÇOS COLETADOS'!AD218</f>
        <v>1250</v>
      </c>
      <c r="H149" s="44">
        <f t="shared" si="4"/>
        <v>1250</v>
      </c>
    </row>
    <row r="150" spans="2:8" ht="47.25" x14ac:dyDescent="0.25">
      <c r="B150" s="8" t="s">
        <v>552</v>
      </c>
      <c r="C150" s="8" t="s">
        <v>584</v>
      </c>
      <c r="D150" s="8" t="s">
        <v>574</v>
      </c>
      <c r="E150" s="8" t="s">
        <v>361</v>
      </c>
      <c r="F150" s="8">
        <v>1</v>
      </c>
      <c r="G150" s="44">
        <f>'ANÁLISE DOS PREÇOS COLETADOS'!AD219</f>
        <v>57.082499999999996</v>
      </c>
      <c r="H150" s="44">
        <f t="shared" si="4"/>
        <v>57.082499999999996</v>
      </c>
    </row>
    <row r="151" spans="2:8" ht="47.25" x14ac:dyDescent="0.25">
      <c r="B151" s="8" t="s">
        <v>553</v>
      </c>
      <c r="C151" s="8" t="s">
        <v>586</v>
      </c>
      <c r="D151" s="8" t="s">
        <v>574</v>
      </c>
      <c r="E151" s="8" t="s">
        <v>361</v>
      </c>
      <c r="F151" s="8">
        <v>1</v>
      </c>
      <c r="G151" s="44">
        <f>'ANÁLISE DOS PREÇOS COLETADOS'!AD220</f>
        <v>73.5</v>
      </c>
      <c r="H151" s="44">
        <f t="shared" si="4"/>
        <v>73.5</v>
      </c>
    </row>
    <row r="152" spans="2:8" ht="31.5" x14ac:dyDescent="0.25">
      <c r="B152" s="8" t="s">
        <v>556</v>
      </c>
      <c r="C152" s="8" t="s">
        <v>588</v>
      </c>
      <c r="D152" s="8" t="s">
        <v>589</v>
      </c>
      <c r="E152" s="8" t="s">
        <v>636</v>
      </c>
      <c r="F152" s="8">
        <v>40</v>
      </c>
      <c r="G152" s="44">
        <f>'ANÁLISE DOS PREÇOS COLETADOS'!AD221</f>
        <v>35</v>
      </c>
      <c r="H152" s="44">
        <f t="shared" si="4"/>
        <v>1400</v>
      </c>
    </row>
    <row r="153" spans="2:8" ht="15.75" x14ac:dyDescent="0.25">
      <c r="B153" s="84" t="s">
        <v>403</v>
      </c>
      <c r="C153" s="84"/>
      <c r="D153" s="84"/>
      <c r="E153" s="84"/>
      <c r="F153" s="84"/>
      <c r="G153" s="118">
        <f>SUM(H105:H152)</f>
        <v>23032.291666666668</v>
      </c>
      <c r="H153" s="78"/>
    </row>
    <row r="154" spans="2:8" ht="15.75" customHeight="1" x14ac:dyDescent="0.25">
      <c r="B154" s="84" t="s">
        <v>375</v>
      </c>
      <c r="C154" s="84"/>
      <c r="D154" s="84"/>
      <c r="E154" s="84"/>
      <c r="F154" s="84"/>
      <c r="G154" s="84"/>
      <c r="H154" s="84"/>
    </row>
    <row r="155" spans="2:8" ht="65.25" customHeight="1" x14ac:dyDescent="0.25">
      <c r="B155" s="11" t="s">
        <v>1</v>
      </c>
      <c r="C155" s="11" t="s">
        <v>2</v>
      </c>
      <c r="D155" s="11" t="s">
        <v>3</v>
      </c>
      <c r="E155" s="11" t="s">
        <v>396</v>
      </c>
      <c r="F155" s="11" t="s">
        <v>4</v>
      </c>
      <c r="G155" s="47" t="s">
        <v>759</v>
      </c>
      <c r="H155" s="47" t="s">
        <v>767</v>
      </c>
    </row>
    <row r="156" spans="2:8" ht="110.25" x14ac:dyDescent="0.25">
      <c r="B156" s="8" t="s">
        <v>376</v>
      </c>
      <c r="C156" s="8" t="s">
        <v>673</v>
      </c>
      <c r="D156" s="8" t="s">
        <v>674</v>
      </c>
      <c r="E156" s="8" t="s">
        <v>116</v>
      </c>
      <c r="F156" s="8">
        <v>6</v>
      </c>
      <c r="G156" s="44">
        <f>'ANÁLISE DOS PREÇOS COLETADOS'!AD229</f>
        <v>101</v>
      </c>
      <c r="H156" s="44">
        <f>G156*F156</f>
        <v>606</v>
      </c>
    </row>
    <row r="157" spans="2:8" ht="31.5" x14ac:dyDescent="0.25">
      <c r="B157" s="8" t="s">
        <v>379</v>
      </c>
      <c r="C157" s="8" t="s">
        <v>675</v>
      </c>
      <c r="D157" s="8" t="s">
        <v>676</v>
      </c>
      <c r="E157" s="8" t="s">
        <v>116</v>
      </c>
      <c r="F157" s="8">
        <v>5</v>
      </c>
      <c r="G157" s="44">
        <f>'ANÁLISE DOS PREÇOS COLETADOS'!AD230</f>
        <v>80</v>
      </c>
      <c r="H157" s="44">
        <f t="shared" ref="H157:H164" si="5">G157*F157</f>
        <v>400</v>
      </c>
    </row>
    <row r="158" spans="2:8" ht="47.25" x14ac:dyDescent="0.25">
      <c r="B158" s="8" t="s">
        <v>381</v>
      </c>
      <c r="C158" s="8" t="s">
        <v>677</v>
      </c>
      <c r="D158" s="8" t="s">
        <v>678</v>
      </c>
      <c r="E158" s="8" t="s">
        <v>116</v>
      </c>
      <c r="F158" s="8">
        <v>1</v>
      </c>
      <c r="G158" s="44">
        <f>'ANÁLISE DOS PREÇOS COLETADOS'!AD231</f>
        <v>350</v>
      </c>
      <c r="H158" s="44">
        <f t="shared" si="5"/>
        <v>350</v>
      </c>
    </row>
    <row r="159" spans="2:8" ht="31.5" x14ac:dyDescent="0.25">
      <c r="B159" s="8" t="s">
        <v>607</v>
      </c>
      <c r="C159" s="8" t="s">
        <v>679</v>
      </c>
      <c r="D159" s="8" t="s">
        <v>680</v>
      </c>
      <c r="E159" s="8" t="s">
        <v>116</v>
      </c>
      <c r="F159" s="8">
        <v>1</v>
      </c>
      <c r="G159" s="44">
        <f>'ANÁLISE DOS PREÇOS COLETADOS'!AD232</f>
        <v>60</v>
      </c>
      <c r="H159" s="44">
        <f t="shared" si="5"/>
        <v>60</v>
      </c>
    </row>
    <row r="160" spans="2:8" ht="31.5" x14ac:dyDescent="0.25">
      <c r="B160" s="8" t="s">
        <v>610</v>
      </c>
      <c r="C160" s="8" t="s">
        <v>380</v>
      </c>
      <c r="D160" s="8" t="s">
        <v>404</v>
      </c>
      <c r="E160" s="8" t="s">
        <v>371</v>
      </c>
      <c r="F160" s="8">
        <v>2</v>
      </c>
      <c r="G160" s="44">
        <f>'ANÁLISE DOS PREÇOS COLETADOS'!AD238</f>
        <v>130</v>
      </c>
      <c r="H160" s="44">
        <f t="shared" si="5"/>
        <v>260</v>
      </c>
    </row>
    <row r="161" spans="2:8" ht="47.25" x14ac:dyDescent="0.25">
      <c r="B161" s="8" t="s">
        <v>612</v>
      </c>
      <c r="C161" s="8" t="s">
        <v>611</v>
      </c>
      <c r="D161" s="8" t="s">
        <v>681</v>
      </c>
      <c r="E161" s="8" t="s">
        <v>802</v>
      </c>
      <c r="F161" s="8">
        <v>2</v>
      </c>
      <c r="G161" s="44">
        <f>'ANÁLISE DOS PREÇOS COLETADOS'!AD237</f>
        <v>250</v>
      </c>
      <c r="H161" s="44">
        <f t="shared" si="5"/>
        <v>500</v>
      </c>
    </row>
    <row r="162" spans="2:8" ht="47.25" x14ac:dyDescent="0.25">
      <c r="B162" s="8" t="s">
        <v>613</v>
      </c>
      <c r="C162" s="8" t="s">
        <v>682</v>
      </c>
      <c r="D162" s="8" t="s">
        <v>683</v>
      </c>
      <c r="E162" s="8" t="s">
        <v>116</v>
      </c>
      <c r="F162" s="8">
        <v>2</v>
      </c>
      <c r="G162" s="44">
        <f>'ANÁLISE DOS PREÇOS COLETADOS'!AD239</f>
        <v>650</v>
      </c>
      <c r="H162" s="44">
        <f t="shared" si="5"/>
        <v>1300</v>
      </c>
    </row>
    <row r="163" spans="2:8" ht="78.75" x14ac:dyDescent="0.25">
      <c r="B163" s="8" t="s">
        <v>684</v>
      </c>
      <c r="C163" s="8" t="s">
        <v>355</v>
      </c>
      <c r="D163" s="8" t="s">
        <v>685</v>
      </c>
      <c r="E163" s="33" t="s">
        <v>371</v>
      </c>
      <c r="F163" s="8">
        <v>3</v>
      </c>
      <c r="G163" s="44">
        <f>'ANÁLISE DOS PREÇOS COLETADOS'!AD241</f>
        <v>8</v>
      </c>
      <c r="H163" s="44">
        <f t="shared" si="5"/>
        <v>24</v>
      </c>
    </row>
    <row r="164" spans="2:8" ht="63" x14ac:dyDescent="0.25">
      <c r="B164" s="8" t="s">
        <v>686</v>
      </c>
      <c r="C164" s="8" t="s">
        <v>373</v>
      </c>
      <c r="D164" s="8" t="s">
        <v>596</v>
      </c>
      <c r="E164" s="8" t="s">
        <v>116</v>
      </c>
      <c r="F164" s="8">
        <v>30</v>
      </c>
      <c r="G164" s="44">
        <f>'ANÁLISE DOS PREÇOS COLETADOS'!AD224</f>
        <v>30</v>
      </c>
      <c r="H164" s="44">
        <f t="shared" si="5"/>
        <v>900</v>
      </c>
    </row>
    <row r="165" spans="2:8" ht="15.75" x14ac:dyDescent="0.25">
      <c r="B165" s="84" t="s">
        <v>405</v>
      </c>
      <c r="C165" s="84"/>
      <c r="D165" s="84"/>
      <c r="E165" s="84"/>
      <c r="F165" s="84"/>
      <c r="G165" s="118">
        <f>SUM(H156:H164)</f>
        <v>4400</v>
      </c>
      <c r="H165" s="78"/>
    </row>
    <row r="166" spans="2:8" ht="15.75" customHeight="1" x14ac:dyDescent="0.25">
      <c r="B166" s="84" t="s">
        <v>384</v>
      </c>
      <c r="C166" s="84"/>
      <c r="D166" s="84"/>
      <c r="E166" s="84"/>
      <c r="F166" s="84"/>
      <c r="G166" s="84"/>
      <c r="H166" s="84"/>
    </row>
    <row r="167" spans="2:8" ht="60.75" customHeight="1" x14ac:dyDescent="0.25">
      <c r="B167" s="11" t="s">
        <v>1</v>
      </c>
      <c r="C167" s="11" t="s">
        <v>2</v>
      </c>
      <c r="D167" s="11" t="s">
        <v>3</v>
      </c>
      <c r="E167" s="11" t="s">
        <v>396</v>
      </c>
      <c r="F167" s="11" t="s">
        <v>4</v>
      </c>
      <c r="G167" s="47" t="s">
        <v>759</v>
      </c>
      <c r="H167" s="47" t="s">
        <v>767</v>
      </c>
    </row>
    <row r="168" spans="2:8" ht="47.25" x14ac:dyDescent="0.25">
      <c r="B168" s="8" t="s">
        <v>385</v>
      </c>
      <c r="C168" s="8" t="s">
        <v>616</v>
      </c>
      <c r="D168" s="8" t="s">
        <v>390</v>
      </c>
      <c r="E168" s="8" t="s">
        <v>12</v>
      </c>
      <c r="F168" s="8">
        <v>1</v>
      </c>
      <c r="G168" s="44">
        <f>'ANÁLISE DOS PREÇOS COLETADOS'!AD246</f>
        <v>5</v>
      </c>
      <c r="H168" s="44">
        <f>G168</f>
        <v>5</v>
      </c>
    </row>
    <row r="169" spans="2:8" ht="15.75" x14ac:dyDescent="0.25">
      <c r="B169" s="84" t="s">
        <v>406</v>
      </c>
      <c r="C169" s="84"/>
      <c r="D169" s="84"/>
      <c r="E169" s="84"/>
      <c r="F169" s="84"/>
      <c r="G169" s="118">
        <f>H168</f>
        <v>5</v>
      </c>
      <c r="H169" s="78"/>
    </row>
    <row r="170" spans="2:8" ht="15.75" customHeight="1" x14ac:dyDescent="0.25">
      <c r="B170" s="84" t="s">
        <v>391</v>
      </c>
      <c r="C170" s="84"/>
      <c r="D170" s="84"/>
      <c r="E170" s="84"/>
      <c r="F170" s="84"/>
      <c r="G170" s="84"/>
      <c r="H170" s="84"/>
    </row>
    <row r="171" spans="2:8" ht="60" customHeight="1" x14ac:dyDescent="0.25">
      <c r="B171" s="11" t="s">
        <v>1</v>
      </c>
      <c r="C171" s="11" t="s">
        <v>2</v>
      </c>
      <c r="D171" s="11" t="s">
        <v>3</v>
      </c>
      <c r="E171" s="11" t="s">
        <v>396</v>
      </c>
      <c r="F171" s="11" t="s">
        <v>4</v>
      </c>
      <c r="G171" s="47" t="s">
        <v>759</v>
      </c>
      <c r="H171" s="47" t="s">
        <v>767</v>
      </c>
    </row>
    <row r="172" spans="2:8" ht="204.75" x14ac:dyDescent="0.25">
      <c r="B172" s="8" t="s">
        <v>392</v>
      </c>
      <c r="C172" s="8" t="s">
        <v>393</v>
      </c>
      <c r="D172" s="8" t="s">
        <v>627</v>
      </c>
      <c r="E172" s="8" t="s">
        <v>619</v>
      </c>
      <c r="F172" s="8">
        <v>1</v>
      </c>
      <c r="G172" s="44">
        <f>'ANÁLISE DOS PREÇOS COLETADOS'!AD256</f>
        <v>6400</v>
      </c>
      <c r="H172" s="44">
        <f>G172*F172</f>
        <v>6400</v>
      </c>
    </row>
    <row r="173" spans="2:8" ht="94.5" x14ac:dyDescent="0.25">
      <c r="B173" s="8" t="s">
        <v>620</v>
      </c>
      <c r="C173" s="8" t="s">
        <v>617</v>
      </c>
      <c r="D173" s="8" t="s">
        <v>618</v>
      </c>
      <c r="E173" s="8" t="s">
        <v>619</v>
      </c>
      <c r="F173" s="8">
        <v>1</v>
      </c>
      <c r="G173" s="44">
        <f>'ANÁLISE DOS PREÇOS COLETADOS'!AD251</f>
        <v>3200</v>
      </c>
      <c r="H173" s="44">
        <f t="shared" ref="H173:H176" si="6">G173*F173</f>
        <v>3200</v>
      </c>
    </row>
    <row r="174" spans="2:8" ht="94.5" x14ac:dyDescent="0.25">
      <c r="B174" s="8" t="s">
        <v>622</v>
      </c>
      <c r="C174" s="8" t="s">
        <v>621</v>
      </c>
      <c r="D174" s="8" t="s">
        <v>618</v>
      </c>
      <c r="E174" s="8" t="s">
        <v>619</v>
      </c>
      <c r="F174" s="8">
        <v>1</v>
      </c>
      <c r="G174" s="44">
        <f>'ANÁLISE DOS PREÇOS COLETADOS'!AD252</f>
        <v>2100</v>
      </c>
      <c r="H174" s="44">
        <f t="shared" si="6"/>
        <v>2100</v>
      </c>
    </row>
    <row r="175" spans="2:8" ht="94.5" x14ac:dyDescent="0.25">
      <c r="B175" s="8" t="s">
        <v>624</v>
      </c>
      <c r="C175" s="8" t="s">
        <v>623</v>
      </c>
      <c r="D175" s="8" t="s">
        <v>618</v>
      </c>
      <c r="E175" s="8" t="s">
        <v>619</v>
      </c>
      <c r="F175" s="8">
        <v>1</v>
      </c>
      <c r="G175" s="44">
        <f>'ANÁLISE DOS PREÇOS COLETADOS'!AD253</f>
        <v>2100</v>
      </c>
      <c r="H175" s="44">
        <f t="shared" si="6"/>
        <v>2100</v>
      </c>
    </row>
    <row r="176" spans="2:8" ht="94.5" x14ac:dyDescent="0.25">
      <c r="B176" s="8" t="s">
        <v>626</v>
      </c>
      <c r="C176" s="8" t="s">
        <v>625</v>
      </c>
      <c r="D176" s="8" t="s">
        <v>618</v>
      </c>
      <c r="E176" s="8" t="s">
        <v>619</v>
      </c>
      <c r="F176" s="8">
        <v>2</v>
      </c>
      <c r="G176" s="44">
        <f>'ANÁLISE DOS PREÇOS COLETADOS'!AD254</f>
        <v>520</v>
      </c>
      <c r="H176" s="44">
        <f t="shared" si="6"/>
        <v>1040</v>
      </c>
    </row>
    <row r="177" spans="2:8" ht="15.75" x14ac:dyDescent="0.25">
      <c r="B177" s="84" t="s">
        <v>407</v>
      </c>
      <c r="C177" s="84"/>
      <c r="D177" s="84"/>
      <c r="E177" s="84"/>
      <c r="F177" s="84"/>
      <c r="G177" s="118">
        <f>SUM(H172:H176)</f>
        <v>14840</v>
      </c>
      <c r="H177" s="78"/>
    </row>
    <row r="178" spans="2:8" ht="15.75" x14ac:dyDescent="0.25">
      <c r="B178" s="122"/>
      <c r="C178" s="122"/>
      <c r="D178" s="122"/>
      <c r="E178" s="122"/>
      <c r="F178" s="122"/>
      <c r="G178" s="122"/>
      <c r="H178" s="122"/>
    </row>
    <row r="179" spans="2:8" ht="15.75" customHeight="1" x14ac:dyDescent="0.25">
      <c r="B179" s="84" t="s">
        <v>768</v>
      </c>
      <c r="C179" s="84"/>
      <c r="D179" s="84"/>
      <c r="E179" s="84"/>
      <c r="F179" s="84"/>
      <c r="G179" s="118">
        <f>SUM(G14,G21,G74,G102,G153,G165,G169,G177,G177)</f>
        <v>87939.605916666667</v>
      </c>
      <c r="H179" s="78"/>
    </row>
    <row r="180" spans="2:8" ht="15.75" x14ac:dyDescent="0.25">
      <c r="B180" s="84" t="s">
        <v>737</v>
      </c>
      <c r="C180" s="84"/>
      <c r="D180" s="84"/>
      <c r="E180" s="84"/>
      <c r="F180" s="84"/>
      <c r="G180" s="91">
        <v>17</v>
      </c>
      <c r="H180" s="91"/>
    </row>
    <row r="181" spans="2:8" ht="15.75" x14ac:dyDescent="0.25">
      <c r="B181" s="84" t="s">
        <v>773</v>
      </c>
      <c r="C181" s="84"/>
      <c r="D181" s="84"/>
      <c r="E181" s="84"/>
      <c r="F181" s="84"/>
      <c r="G181" s="118">
        <f>G179*G180</f>
        <v>1494973.3005833332</v>
      </c>
      <c r="H181" s="78"/>
    </row>
  </sheetData>
  <mergeCells count="55">
    <mergeCell ref="G180:H180"/>
    <mergeCell ref="B102:F102"/>
    <mergeCell ref="B178:H178"/>
    <mergeCell ref="G179:H179"/>
    <mergeCell ref="B177:F177"/>
    <mergeCell ref="B179:F179"/>
    <mergeCell ref="G165:H165"/>
    <mergeCell ref="B166:H166"/>
    <mergeCell ref="G169:H169"/>
    <mergeCell ref="B170:H170"/>
    <mergeCell ref="G177:H177"/>
    <mergeCell ref="B21:F21"/>
    <mergeCell ref="B6:B8"/>
    <mergeCell ref="C6:C8"/>
    <mergeCell ref="E6:E8"/>
    <mergeCell ref="F6:F8"/>
    <mergeCell ref="B2:H2"/>
    <mergeCell ref="G14:H14"/>
    <mergeCell ref="B9:B11"/>
    <mergeCell ref="C9:C11"/>
    <mergeCell ref="E9:E11"/>
    <mergeCell ref="F9:F11"/>
    <mergeCell ref="B14:F14"/>
    <mergeCell ref="G74:H74"/>
    <mergeCell ref="B75:H75"/>
    <mergeCell ref="G51:G53"/>
    <mergeCell ref="G6:G8"/>
    <mergeCell ref="G9:G11"/>
    <mergeCell ref="H6:H8"/>
    <mergeCell ref="H9:H11"/>
    <mergeCell ref="H51:H53"/>
    <mergeCell ref="B15:H15"/>
    <mergeCell ref="G21:H21"/>
    <mergeCell ref="B22:H22"/>
    <mergeCell ref="B74:F74"/>
    <mergeCell ref="B51:B53"/>
    <mergeCell ref="C51:C53"/>
    <mergeCell ref="E51:E53"/>
    <mergeCell ref="F51:F53"/>
    <mergeCell ref="G181:H181"/>
    <mergeCell ref="H79:H87"/>
    <mergeCell ref="G102:H102"/>
    <mergeCell ref="B103:H103"/>
    <mergeCell ref="G153:H153"/>
    <mergeCell ref="G79:G87"/>
    <mergeCell ref="B79:B87"/>
    <mergeCell ref="C79:C87"/>
    <mergeCell ref="E79:E87"/>
    <mergeCell ref="F79:F87"/>
    <mergeCell ref="B181:F181"/>
    <mergeCell ref="B153:F153"/>
    <mergeCell ref="B165:F165"/>
    <mergeCell ref="B169:F169"/>
    <mergeCell ref="B154:H154"/>
    <mergeCell ref="B180:F18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B8C-6FF7-42E3-8C66-1976E153B7CA}">
  <dimension ref="B2:H80"/>
  <sheetViews>
    <sheetView topLeftCell="A67" zoomScale="96" zoomScaleNormal="96" workbookViewId="0">
      <selection activeCell="R54" sqref="R54"/>
    </sheetView>
  </sheetViews>
  <sheetFormatPr defaultRowHeight="15" x14ac:dyDescent="0.25"/>
  <cols>
    <col min="2" max="2" width="14.7109375" customWidth="1"/>
    <col min="3" max="3" width="19" customWidth="1"/>
    <col min="4" max="4" width="40.140625" bestFit="1" customWidth="1"/>
    <col min="5" max="5" width="21.7109375" customWidth="1"/>
    <col min="7" max="7" width="22" customWidth="1"/>
    <col min="8" max="8" width="21.140625" customWidth="1"/>
  </cols>
  <sheetData>
    <row r="2" spans="2:8" ht="15.75" customHeight="1" x14ac:dyDescent="0.25">
      <c r="B2" s="84" t="s">
        <v>629</v>
      </c>
      <c r="C2" s="84"/>
      <c r="D2" s="84"/>
      <c r="E2" s="84"/>
      <c r="F2" s="84"/>
      <c r="G2" s="84"/>
      <c r="H2" s="84"/>
    </row>
    <row r="3" spans="2:8" ht="45" x14ac:dyDescent="0.25">
      <c r="B3" s="11" t="s">
        <v>1</v>
      </c>
      <c r="C3" s="11" t="s">
        <v>2</v>
      </c>
      <c r="D3" s="11" t="s">
        <v>3</v>
      </c>
      <c r="E3" s="11" t="s">
        <v>396</v>
      </c>
      <c r="F3" s="11" t="s">
        <v>4</v>
      </c>
      <c r="G3" s="47" t="s">
        <v>759</v>
      </c>
      <c r="H3" s="47" t="s">
        <v>767</v>
      </c>
    </row>
    <row r="4" spans="2:8" ht="31.5" customHeight="1" x14ac:dyDescent="0.25">
      <c r="B4" s="122" t="s">
        <v>9</v>
      </c>
      <c r="C4" s="122" t="s">
        <v>412</v>
      </c>
      <c r="D4" s="8" t="s">
        <v>687</v>
      </c>
      <c r="E4" s="122" t="s">
        <v>19</v>
      </c>
      <c r="F4" s="122">
        <v>12</v>
      </c>
      <c r="G4" s="90">
        <f>'ANÁLISE DOS PREÇOS COLETADOS'!AD9</f>
        <v>21</v>
      </c>
      <c r="H4" s="90">
        <f>G4*F4</f>
        <v>252</v>
      </c>
    </row>
    <row r="5" spans="2:8" ht="31.5" x14ac:dyDescent="0.25">
      <c r="B5" s="122"/>
      <c r="C5" s="122"/>
      <c r="D5" s="8" t="s">
        <v>700</v>
      </c>
      <c r="E5" s="122"/>
      <c r="F5" s="122"/>
      <c r="G5" s="91"/>
      <c r="H5" s="91"/>
    </row>
    <row r="6" spans="2:8" ht="409.5" x14ac:dyDescent="0.25">
      <c r="B6" s="122"/>
      <c r="C6" s="122"/>
      <c r="D6" s="8" t="s">
        <v>688</v>
      </c>
      <c r="E6" s="122"/>
      <c r="F6" s="122"/>
      <c r="G6" s="91"/>
      <c r="H6" s="91"/>
    </row>
    <row r="7" spans="2:8" ht="63" x14ac:dyDescent="0.25">
      <c r="B7" s="122" t="s">
        <v>13</v>
      </c>
      <c r="C7" s="122" t="s">
        <v>28</v>
      </c>
      <c r="D7" s="8" t="s">
        <v>29</v>
      </c>
      <c r="E7" s="122" t="s">
        <v>19</v>
      </c>
      <c r="F7" s="122">
        <v>10</v>
      </c>
      <c r="G7" s="90">
        <f>'ANÁLISE DOS PREÇOS COLETADOS'!AD12</f>
        <v>18</v>
      </c>
      <c r="H7" s="90">
        <f>G7*F7</f>
        <v>180</v>
      </c>
    </row>
    <row r="8" spans="2:8" ht="63" x14ac:dyDescent="0.25">
      <c r="B8" s="122"/>
      <c r="C8" s="122"/>
      <c r="D8" s="8" t="s">
        <v>30</v>
      </c>
      <c r="E8" s="122"/>
      <c r="F8" s="122"/>
      <c r="G8" s="91"/>
      <c r="H8" s="91"/>
    </row>
    <row r="9" spans="2:8" ht="47.25" x14ac:dyDescent="0.25">
      <c r="B9" s="122"/>
      <c r="C9" s="122"/>
      <c r="D9" s="8" t="s">
        <v>31</v>
      </c>
      <c r="E9" s="122"/>
      <c r="F9" s="122"/>
      <c r="G9" s="91"/>
      <c r="H9" s="91"/>
    </row>
    <row r="10" spans="2:8" ht="15.75" x14ac:dyDescent="0.25">
      <c r="B10" s="122"/>
      <c r="C10" s="122"/>
      <c r="D10" s="8" t="s">
        <v>32</v>
      </c>
      <c r="E10" s="122"/>
      <c r="F10" s="122"/>
      <c r="G10" s="91"/>
      <c r="H10" s="91"/>
    </row>
    <row r="11" spans="2:8" ht="31.5" x14ac:dyDescent="0.25">
      <c r="B11" s="122"/>
      <c r="C11" s="122"/>
      <c r="D11" s="8" t="s">
        <v>33</v>
      </c>
      <c r="E11" s="122"/>
      <c r="F11" s="122"/>
      <c r="G11" s="91"/>
      <c r="H11" s="91"/>
    </row>
    <row r="12" spans="2:8" ht="78.75" x14ac:dyDescent="0.25">
      <c r="B12" s="122"/>
      <c r="C12" s="122"/>
      <c r="D12" s="8" t="s">
        <v>34</v>
      </c>
      <c r="E12" s="122"/>
      <c r="F12" s="122"/>
      <c r="G12" s="91"/>
      <c r="H12" s="91"/>
    </row>
    <row r="13" spans="2:8" ht="31.5" x14ac:dyDescent="0.25">
      <c r="B13" s="122"/>
      <c r="C13" s="122"/>
      <c r="D13" s="8" t="s">
        <v>35</v>
      </c>
      <c r="E13" s="122"/>
      <c r="F13" s="122"/>
      <c r="G13" s="91"/>
      <c r="H13" s="91"/>
    </row>
    <row r="14" spans="2:8" ht="15.75" x14ac:dyDescent="0.25">
      <c r="B14" s="122"/>
      <c r="C14" s="122"/>
      <c r="D14" s="8" t="s">
        <v>36</v>
      </c>
      <c r="E14" s="122"/>
      <c r="F14" s="122"/>
      <c r="G14" s="91"/>
      <c r="H14" s="91"/>
    </row>
    <row r="15" spans="2:8" ht="15.75" x14ac:dyDescent="0.25">
      <c r="B15" s="122"/>
      <c r="C15" s="122"/>
      <c r="D15" s="8" t="s">
        <v>37</v>
      </c>
      <c r="E15" s="122"/>
      <c r="F15" s="122"/>
      <c r="G15" s="91"/>
      <c r="H15" s="91"/>
    </row>
    <row r="16" spans="2:8" ht="78.75" x14ac:dyDescent="0.25">
      <c r="B16" s="8" t="s">
        <v>16</v>
      </c>
      <c r="C16" s="8" t="s">
        <v>39</v>
      </c>
      <c r="D16" s="8" t="s">
        <v>40</v>
      </c>
      <c r="E16" s="8" t="s">
        <v>418</v>
      </c>
      <c r="F16" s="8">
        <v>3</v>
      </c>
      <c r="G16" s="44">
        <f>'ANÁLISE DOS PREÇOS COLETADOS'!AD27</f>
        <v>45.225000000000001</v>
      </c>
      <c r="H16" s="44">
        <f>G16*F16</f>
        <v>135.67500000000001</v>
      </c>
    </row>
    <row r="17" spans="2:8" ht="15.75" x14ac:dyDescent="0.25">
      <c r="B17" s="84" t="s">
        <v>398</v>
      </c>
      <c r="C17" s="84"/>
      <c r="D17" s="84"/>
      <c r="E17" s="84"/>
      <c r="F17" s="84"/>
      <c r="G17" s="118">
        <f>SUM(H4:H16)</f>
        <v>567.67499999999995</v>
      </c>
      <c r="H17" s="78"/>
    </row>
    <row r="18" spans="2:8" ht="15.75" customHeight="1" x14ac:dyDescent="0.25">
      <c r="B18" s="84" t="s">
        <v>66</v>
      </c>
      <c r="C18" s="84"/>
      <c r="D18" s="84"/>
      <c r="E18" s="84"/>
      <c r="F18" s="84"/>
      <c r="G18" s="84"/>
      <c r="H18" s="84"/>
    </row>
    <row r="19" spans="2:8" ht="46.5" customHeight="1" x14ac:dyDescent="0.25">
      <c r="B19" s="11" t="s">
        <v>1</v>
      </c>
      <c r="C19" s="11" t="s">
        <v>2</v>
      </c>
      <c r="D19" s="11" t="s">
        <v>3</v>
      </c>
      <c r="E19" s="11" t="s">
        <v>396</v>
      </c>
      <c r="F19" s="11" t="s">
        <v>4</v>
      </c>
      <c r="G19" s="47" t="s">
        <v>759</v>
      </c>
      <c r="H19" s="47" t="s">
        <v>767</v>
      </c>
    </row>
    <row r="20" spans="2:8" ht="78.75" x14ac:dyDescent="0.25">
      <c r="B20" s="8" t="s">
        <v>67</v>
      </c>
      <c r="C20" s="8" t="s">
        <v>68</v>
      </c>
      <c r="D20" s="8" t="s">
        <v>69</v>
      </c>
      <c r="E20" s="8" t="s">
        <v>70</v>
      </c>
      <c r="F20" s="8">
        <v>1</v>
      </c>
      <c r="G20" s="44">
        <f>'ANÁLISE DOS PREÇOS COLETADOS'!AD43</f>
        <v>500</v>
      </c>
      <c r="H20" s="44">
        <f>G20*F20</f>
        <v>500</v>
      </c>
    </row>
    <row r="21" spans="2:8" ht="31.5" x14ac:dyDescent="0.25">
      <c r="B21" s="8" t="s">
        <v>71</v>
      </c>
      <c r="C21" s="8" t="s">
        <v>84</v>
      </c>
      <c r="D21" s="8" t="s">
        <v>85</v>
      </c>
      <c r="E21" s="8" t="s">
        <v>70</v>
      </c>
      <c r="F21" s="8">
        <v>1</v>
      </c>
      <c r="G21" s="44">
        <f>'ANÁLISE DOS PREÇOS COLETADOS'!AD49</f>
        <v>90</v>
      </c>
      <c r="H21" s="44">
        <f t="shared" ref="H21:H54" si="0">G21*F21</f>
        <v>90</v>
      </c>
    </row>
    <row r="22" spans="2:8" ht="31.5" x14ac:dyDescent="0.25">
      <c r="B22" s="8" t="s">
        <v>74</v>
      </c>
      <c r="C22" s="8" t="s">
        <v>84</v>
      </c>
      <c r="D22" s="8" t="s">
        <v>87</v>
      </c>
      <c r="E22" s="8" t="s">
        <v>70</v>
      </c>
      <c r="F22" s="8">
        <v>1</v>
      </c>
      <c r="G22" s="44">
        <f>'ANÁLISE DOS PREÇOS COLETADOS'!AD50</f>
        <v>87.5</v>
      </c>
      <c r="H22" s="44">
        <f t="shared" si="0"/>
        <v>87.5</v>
      </c>
    </row>
    <row r="23" spans="2:8" ht="31.5" x14ac:dyDescent="0.25">
      <c r="B23" s="8" t="s">
        <v>77</v>
      </c>
      <c r="C23" s="8" t="s">
        <v>89</v>
      </c>
      <c r="D23" s="8" t="s">
        <v>90</v>
      </c>
      <c r="E23" s="8" t="s">
        <v>70</v>
      </c>
      <c r="F23" s="8">
        <v>1</v>
      </c>
      <c r="G23" s="44">
        <f>'ANÁLISE DOS PREÇOS COLETADOS'!AD51</f>
        <v>43.002499999999998</v>
      </c>
      <c r="H23" s="44">
        <f t="shared" si="0"/>
        <v>43.002499999999998</v>
      </c>
    </row>
    <row r="24" spans="2:8" ht="220.5" x14ac:dyDescent="0.25">
      <c r="B24" s="8" t="s">
        <v>80</v>
      </c>
      <c r="C24" s="8" t="s">
        <v>92</v>
      </c>
      <c r="D24" s="8" t="s">
        <v>93</v>
      </c>
      <c r="E24" s="8" t="s">
        <v>70</v>
      </c>
      <c r="F24" s="8">
        <v>1</v>
      </c>
      <c r="G24" s="44">
        <f>'ANÁLISE DOS PREÇOS COLETADOS'!AD52</f>
        <v>20</v>
      </c>
      <c r="H24" s="44">
        <f t="shared" si="0"/>
        <v>20</v>
      </c>
    </row>
    <row r="25" spans="2:8" ht="189" x14ac:dyDescent="0.25">
      <c r="B25" s="8" t="s">
        <v>83</v>
      </c>
      <c r="C25" s="8" t="s">
        <v>95</v>
      </c>
      <c r="D25" s="8" t="s">
        <v>96</v>
      </c>
      <c r="E25" s="8" t="s">
        <v>70</v>
      </c>
      <c r="F25" s="8">
        <v>1</v>
      </c>
      <c r="G25" s="44">
        <f>'ANÁLISE DOS PREÇOS COLETADOS'!AD53</f>
        <v>38.5</v>
      </c>
      <c r="H25" s="44">
        <f t="shared" si="0"/>
        <v>38.5</v>
      </c>
    </row>
    <row r="26" spans="2:8" ht="31.5" x14ac:dyDescent="0.25">
      <c r="B26" s="8" t="s">
        <v>86</v>
      </c>
      <c r="C26" s="8" t="s">
        <v>98</v>
      </c>
      <c r="D26" s="8" t="s">
        <v>99</v>
      </c>
      <c r="E26" s="8" t="s">
        <v>7</v>
      </c>
      <c r="F26" s="8">
        <v>1</v>
      </c>
      <c r="G26" s="44">
        <f>'ANÁLISE DOS PREÇOS COLETADOS'!AD54</f>
        <v>7.5</v>
      </c>
      <c r="H26" s="44">
        <f t="shared" si="0"/>
        <v>7.5</v>
      </c>
    </row>
    <row r="27" spans="2:8" ht="220.5" x14ac:dyDescent="0.25">
      <c r="B27" s="8" t="s">
        <v>88</v>
      </c>
      <c r="C27" s="8" t="s">
        <v>110</v>
      </c>
      <c r="D27" s="8" t="s">
        <v>111</v>
      </c>
      <c r="E27" s="8" t="s">
        <v>112</v>
      </c>
      <c r="F27" s="8">
        <v>1</v>
      </c>
      <c r="G27" s="44">
        <f>'ANÁLISE DOS PREÇOS COLETADOS'!AD59</f>
        <v>500</v>
      </c>
      <c r="H27" s="44">
        <f t="shared" si="0"/>
        <v>500</v>
      </c>
    </row>
    <row r="28" spans="2:8" ht="31.5" x14ac:dyDescent="0.25">
      <c r="B28" s="8" t="s">
        <v>91</v>
      </c>
      <c r="C28" s="8" t="s">
        <v>124</v>
      </c>
      <c r="D28" s="8" t="s">
        <v>431</v>
      </c>
      <c r="E28" s="8" t="s">
        <v>70</v>
      </c>
      <c r="F28" s="8">
        <v>4</v>
      </c>
      <c r="G28" s="44">
        <f>'ANÁLISE DOS PREÇOS COLETADOS'!AD61</f>
        <v>26.666666666666668</v>
      </c>
      <c r="H28" s="44">
        <f t="shared" si="0"/>
        <v>106.66666666666667</v>
      </c>
    </row>
    <row r="29" spans="2:8" ht="31.5" x14ac:dyDescent="0.25">
      <c r="B29" s="8" t="s">
        <v>94</v>
      </c>
      <c r="C29" s="8" t="s">
        <v>121</v>
      </c>
      <c r="D29" s="8" t="s">
        <v>122</v>
      </c>
      <c r="E29" s="8" t="s">
        <v>70</v>
      </c>
      <c r="F29" s="8">
        <v>4</v>
      </c>
      <c r="G29" s="44">
        <f>'ANÁLISE DOS PREÇOS COLETADOS'!AD62</f>
        <v>28</v>
      </c>
      <c r="H29" s="44">
        <f t="shared" si="0"/>
        <v>112</v>
      </c>
    </row>
    <row r="30" spans="2:8" ht="15.75" x14ac:dyDescent="0.25">
      <c r="B30" s="8" t="s">
        <v>97</v>
      </c>
      <c r="C30" s="8" t="s">
        <v>121</v>
      </c>
      <c r="D30" s="8" t="s">
        <v>690</v>
      </c>
      <c r="E30" s="8" t="s">
        <v>70</v>
      </c>
      <c r="F30" s="8">
        <v>4</v>
      </c>
      <c r="G30" s="44">
        <f>'ANÁLISE DOS PREÇOS COLETADOS'!AD63</f>
        <v>22</v>
      </c>
      <c r="H30" s="44">
        <f t="shared" si="0"/>
        <v>88</v>
      </c>
    </row>
    <row r="31" spans="2:8" ht="15.75" x14ac:dyDescent="0.25">
      <c r="B31" s="8" t="s">
        <v>100</v>
      </c>
      <c r="C31" s="8" t="s">
        <v>121</v>
      </c>
      <c r="D31" s="8" t="s">
        <v>125</v>
      </c>
      <c r="E31" s="8" t="s">
        <v>70</v>
      </c>
      <c r="F31" s="8">
        <v>8</v>
      </c>
      <c r="G31" s="44">
        <f>'ANÁLISE DOS PREÇOS COLETADOS'!AD64</f>
        <v>21.5</v>
      </c>
      <c r="H31" s="44">
        <f t="shared" si="0"/>
        <v>172</v>
      </c>
    </row>
    <row r="32" spans="2:8" ht="63" x14ac:dyDescent="0.25">
      <c r="B32" s="8" t="s">
        <v>103</v>
      </c>
      <c r="C32" s="8" t="s">
        <v>127</v>
      </c>
      <c r="D32" s="8" t="s">
        <v>128</v>
      </c>
      <c r="E32" s="8" t="s">
        <v>112</v>
      </c>
      <c r="F32" s="8">
        <v>2</v>
      </c>
      <c r="G32" s="44">
        <f>'ANÁLISE DOS PREÇOS COLETADOS'!AD66</f>
        <v>30</v>
      </c>
      <c r="H32" s="44">
        <f t="shared" si="0"/>
        <v>60</v>
      </c>
    </row>
    <row r="33" spans="2:8" ht="63" x14ac:dyDescent="0.25">
      <c r="B33" s="8" t="s">
        <v>106</v>
      </c>
      <c r="C33" s="8" t="s">
        <v>136</v>
      </c>
      <c r="D33" s="8" t="s">
        <v>137</v>
      </c>
      <c r="E33" s="8" t="s">
        <v>70</v>
      </c>
      <c r="F33" s="8">
        <v>1</v>
      </c>
      <c r="G33" s="44">
        <f>'ANÁLISE DOS PREÇOS COLETADOS'!AD69</f>
        <v>55</v>
      </c>
      <c r="H33" s="44">
        <f t="shared" si="0"/>
        <v>55</v>
      </c>
    </row>
    <row r="34" spans="2:8" ht="63" x14ac:dyDescent="0.25">
      <c r="B34" s="8" t="s">
        <v>109</v>
      </c>
      <c r="C34" s="8" t="s">
        <v>139</v>
      </c>
      <c r="D34" s="8" t="s">
        <v>140</v>
      </c>
      <c r="E34" s="8" t="s">
        <v>70</v>
      </c>
      <c r="F34" s="8">
        <v>1</v>
      </c>
      <c r="G34" s="44">
        <f>'ANÁLISE DOS PREÇOS COLETADOS'!AD70</f>
        <v>115</v>
      </c>
      <c r="H34" s="44">
        <f t="shared" si="0"/>
        <v>115</v>
      </c>
    </row>
    <row r="35" spans="2:8" ht="63" x14ac:dyDescent="0.25">
      <c r="B35" s="8" t="s">
        <v>113</v>
      </c>
      <c r="C35" s="8" t="s">
        <v>136</v>
      </c>
      <c r="D35" s="8" t="s">
        <v>142</v>
      </c>
      <c r="E35" s="8" t="s">
        <v>70</v>
      </c>
      <c r="F35" s="8">
        <v>1</v>
      </c>
      <c r="G35" s="44">
        <f>'ANÁLISE DOS PREÇOS COLETADOS'!AD71</f>
        <v>113.33333333333333</v>
      </c>
      <c r="H35" s="44">
        <f t="shared" si="0"/>
        <v>113.33333333333333</v>
      </c>
    </row>
    <row r="36" spans="2:8" ht="63" x14ac:dyDescent="0.25">
      <c r="B36" s="8" t="s">
        <v>117</v>
      </c>
      <c r="C36" s="8" t="s">
        <v>139</v>
      </c>
      <c r="D36" s="8" t="s">
        <v>144</v>
      </c>
      <c r="E36" s="8" t="s">
        <v>70</v>
      </c>
      <c r="F36" s="8">
        <v>1</v>
      </c>
      <c r="G36" s="44">
        <f>'ANÁLISE DOS PREÇOS COLETADOS'!AD72</f>
        <v>150</v>
      </c>
      <c r="H36" s="44">
        <f t="shared" si="0"/>
        <v>150</v>
      </c>
    </row>
    <row r="37" spans="2:8" ht="31.5" x14ac:dyDescent="0.25">
      <c r="B37" s="8" t="s">
        <v>120</v>
      </c>
      <c r="C37" s="8" t="s">
        <v>146</v>
      </c>
      <c r="D37" s="8" t="s">
        <v>147</v>
      </c>
      <c r="E37" s="8" t="s">
        <v>70</v>
      </c>
      <c r="F37" s="8">
        <v>1</v>
      </c>
      <c r="G37" s="44">
        <f>'ANÁLISE DOS PREÇOS COLETADOS'!AD73</f>
        <v>10</v>
      </c>
      <c r="H37" s="44">
        <f t="shared" si="0"/>
        <v>10</v>
      </c>
    </row>
    <row r="38" spans="2:8" ht="204.75" x14ac:dyDescent="0.25">
      <c r="B38" s="8" t="s">
        <v>123</v>
      </c>
      <c r="C38" s="8" t="s">
        <v>149</v>
      </c>
      <c r="D38" s="8" t="s">
        <v>150</v>
      </c>
      <c r="E38" s="8" t="s">
        <v>70</v>
      </c>
      <c r="F38" s="8">
        <v>1</v>
      </c>
      <c r="G38" s="44">
        <f>'ANÁLISE DOS PREÇOS COLETADOS'!AD74</f>
        <v>5</v>
      </c>
      <c r="H38" s="44">
        <f t="shared" si="0"/>
        <v>5</v>
      </c>
    </row>
    <row r="39" spans="2:8" ht="189" x14ac:dyDescent="0.25">
      <c r="B39" s="8" t="s">
        <v>126</v>
      </c>
      <c r="C39" s="8" t="s">
        <v>691</v>
      </c>
      <c r="D39" s="8" t="s">
        <v>692</v>
      </c>
      <c r="E39" s="8" t="s">
        <v>154</v>
      </c>
      <c r="F39" s="8">
        <v>1</v>
      </c>
      <c r="G39" s="44">
        <f>'ANÁLISE DOS PREÇOS COLETADOS'!AD76</f>
        <v>97.5</v>
      </c>
      <c r="H39" s="44">
        <f t="shared" si="0"/>
        <v>97.5</v>
      </c>
    </row>
    <row r="40" spans="2:8" ht="110.25" x14ac:dyDescent="0.25">
      <c r="B40" s="8" t="s">
        <v>129</v>
      </c>
      <c r="C40" s="8" t="s">
        <v>167</v>
      </c>
      <c r="D40" s="8" t="s">
        <v>693</v>
      </c>
      <c r="E40" s="8" t="s">
        <v>694</v>
      </c>
      <c r="F40" s="8">
        <v>1</v>
      </c>
      <c r="G40" s="44">
        <f>'ANÁLISE DOS PREÇOS COLETADOS'!AD81</f>
        <v>64.52</v>
      </c>
      <c r="H40" s="44">
        <f t="shared" si="0"/>
        <v>64.52</v>
      </c>
    </row>
    <row r="41" spans="2:8" ht="31.5" x14ac:dyDescent="0.25">
      <c r="B41" s="8" t="s">
        <v>132</v>
      </c>
      <c r="C41" s="8" t="s">
        <v>170</v>
      </c>
      <c r="D41" s="8" t="s">
        <v>171</v>
      </c>
      <c r="E41" s="8" t="s">
        <v>12</v>
      </c>
      <c r="F41" s="8">
        <v>1</v>
      </c>
      <c r="G41" s="44">
        <f>'ANÁLISE DOS PREÇOS COLETADOS'!AD82</f>
        <v>6</v>
      </c>
      <c r="H41" s="44">
        <f t="shared" si="0"/>
        <v>6</v>
      </c>
    </row>
    <row r="42" spans="2:8" ht="31.5" x14ac:dyDescent="0.25">
      <c r="B42" s="8" t="s">
        <v>135</v>
      </c>
      <c r="C42" s="8" t="s">
        <v>173</v>
      </c>
      <c r="D42" s="8" t="s">
        <v>174</v>
      </c>
      <c r="E42" s="8" t="s">
        <v>12</v>
      </c>
      <c r="F42" s="8">
        <v>1</v>
      </c>
      <c r="G42" s="44">
        <f>'ANÁLISE DOS PREÇOS COLETADOS'!AD84</f>
        <v>35</v>
      </c>
      <c r="H42" s="44">
        <f t="shared" si="0"/>
        <v>35</v>
      </c>
    </row>
    <row r="43" spans="2:8" ht="47.25" x14ac:dyDescent="0.25">
      <c r="B43" s="8" t="s">
        <v>138</v>
      </c>
      <c r="C43" s="8" t="s">
        <v>176</v>
      </c>
      <c r="D43" s="8" t="s">
        <v>643</v>
      </c>
      <c r="E43" s="8" t="s">
        <v>12</v>
      </c>
      <c r="F43" s="8">
        <v>1</v>
      </c>
      <c r="G43" s="44">
        <f>'ANÁLISE DOS PREÇOS COLETADOS'!AD85</f>
        <v>52.5</v>
      </c>
      <c r="H43" s="44">
        <f t="shared" si="0"/>
        <v>52.5</v>
      </c>
    </row>
    <row r="44" spans="2:8" ht="189" x14ac:dyDescent="0.25">
      <c r="B44" s="8" t="s">
        <v>141</v>
      </c>
      <c r="C44" s="8" t="s">
        <v>443</v>
      </c>
      <c r="D44" s="8" t="s">
        <v>695</v>
      </c>
      <c r="E44" s="8" t="s">
        <v>7</v>
      </c>
      <c r="F44" s="8">
        <v>1</v>
      </c>
      <c r="G44" s="44">
        <f>'ANÁLISE DOS PREÇOS COLETADOS'!AD90</f>
        <v>448.48750000000001</v>
      </c>
      <c r="H44" s="44">
        <f t="shared" si="0"/>
        <v>448.48750000000001</v>
      </c>
    </row>
    <row r="45" spans="2:8" ht="15.75" x14ac:dyDescent="0.25">
      <c r="B45" s="8" t="s">
        <v>143</v>
      </c>
      <c r="C45" s="8" t="s">
        <v>198</v>
      </c>
      <c r="D45" s="8" t="s">
        <v>199</v>
      </c>
      <c r="E45" s="8" t="s">
        <v>70</v>
      </c>
      <c r="F45" s="8">
        <v>1</v>
      </c>
      <c r="G45" s="44">
        <f>'ANÁLISE DOS PREÇOS COLETADOS'!AD94</f>
        <v>8</v>
      </c>
      <c r="H45" s="44">
        <f t="shared" si="0"/>
        <v>8</v>
      </c>
    </row>
    <row r="46" spans="2:8" ht="15.75" x14ac:dyDescent="0.25">
      <c r="B46" s="8" t="s">
        <v>145</v>
      </c>
      <c r="C46" s="8" t="s">
        <v>198</v>
      </c>
      <c r="D46" s="8" t="s">
        <v>202</v>
      </c>
      <c r="E46" s="8" t="s">
        <v>70</v>
      </c>
      <c r="F46" s="8">
        <v>1</v>
      </c>
      <c r="G46" s="44">
        <f>'ANÁLISE DOS PREÇOS COLETADOS'!AD95</f>
        <v>15</v>
      </c>
      <c r="H46" s="44">
        <f t="shared" si="0"/>
        <v>15</v>
      </c>
    </row>
    <row r="47" spans="2:8" ht="63" x14ac:dyDescent="0.25">
      <c r="B47" s="8" t="s">
        <v>148</v>
      </c>
      <c r="C47" s="8" t="s">
        <v>445</v>
      </c>
      <c r="D47" s="8" t="s">
        <v>646</v>
      </c>
      <c r="E47" s="8" t="s">
        <v>70</v>
      </c>
      <c r="F47" s="8">
        <v>1</v>
      </c>
      <c r="G47" s="44">
        <f>'ANÁLISE DOS PREÇOS COLETADOS'!AD97</f>
        <v>80</v>
      </c>
      <c r="H47" s="44">
        <f t="shared" si="0"/>
        <v>80</v>
      </c>
    </row>
    <row r="48" spans="2:8" ht="63" x14ac:dyDescent="0.25">
      <c r="B48" s="8" t="s">
        <v>151</v>
      </c>
      <c r="C48" s="8" t="s">
        <v>445</v>
      </c>
      <c r="D48" s="8" t="s">
        <v>696</v>
      </c>
      <c r="E48" s="8" t="s">
        <v>70</v>
      </c>
      <c r="F48" s="8">
        <v>1</v>
      </c>
      <c r="G48" s="44">
        <f>'ANÁLISE DOS PREÇOS COLETADOS'!AD98</f>
        <v>55.5</v>
      </c>
      <c r="H48" s="44">
        <f t="shared" si="0"/>
        <v>55.5</v>
      </c>
    </row>
    <row r="49" spans="2:8" ht="63" x14ac:dyDescent="0.25">
      <c r="B49" s="8" t="s">
        <v>155</v>
      </c>
      <c r="C49" s="8" t="s">
        <v>445</v>
      </c>
      <c r="D49" s="8" t="s">
        <v>697</v>
      </c>
      <c r="E49" s="8" t="s">
        <v>70</v>
      </c>
      <c r="F49" s="8">
        <v>1</v>
      </c>
      <c r="G49" s="44">
        <f>'ANÁLISE DOS PREÇOS COLETADOS'!AD100</f>
        <v>50</v>
      </c>
      <c r="H49" s="44">
        <f t="shared" si="0"/>
        <v>50</v>
      </c>
    </row>
    <row r="50" spans="2:8" ht="78.75" x14ac:dyDescent="0.25">
      <c r="B50" s="8" t="s">
        <v>158</v>
      </c>
      <c r="C50" s="8" t="s">
        <v>114</v>
      </c>
      <c r="D50" s="8" t="s">
        <v>637</v>
      </c>
      <c r="E50" s="8" t="s">
        <v>116</v>
      </c>
      <c r="F50" s="8">
        <v>1</v>
      </c>
      <c r="G50" s="44">
        <f>'ANÁLISE DOS PREÇOS COLETADOS'!AD103</f>
        <v>500</v>
      </c>
      <c r="H50" s="44">
        <f t="shared" si="0"/>
        <v>500</v>
      </c>
    </row>
    <row r="51" spans="2:8" ht="44.25" customHeight="1" x14ac:dyDescent="0.25">
      <c r="B51" s="8" t="s">
        <v>161</v>
      </c>
      <c r="C51" s="8" t="s">
        <v>216</v>
      </c>
      <c r="D51" s="8" t="s">
        <v>217</v>
      </c>
      <c r="E51" s="8" t="s">
        <v>70</v>
      </c>
      <c r="F51" s="8">
        <v>1</v>
      </c>
      <c r="G51" s="44">
        <f>'ANÁLISE DOS PREÇOS COLETADOS'!AD104</f>
        <v>50</v>
      </c>
      <c r="H51" s="44">
        <f t="shared" si="0"/>
        <v>50</v>
      </c>
    </row>
    <row r="52" spans="2:8" ht="48.75" customHeight="1" x14ac:dyDescent="0.25">
      <c r="B52" s="8" t="s">
        <v>166</v>
      </c>
      <c r="C52" s="8" t="s">
        <v>219</v>
      </c>
      <c r="D52" s="8" t="s">
        <v>220</v>
      </c>
      <c r="E52" s="8" t="s">
        <v>70</v>
      </c>
      <c r="F52" s="8">
        <v>1</v>
      </c>
      <c r="G52" s="44">
        <f>'ANÁLISE DOS PREÇOS COLETADOS'!AD105</f>
        <v>100</v>
      </c>
      <c r="H52" s="44">
        <f t="shared" si="0"/>
        <v>100</v>
      </c>
    </row>
    <row r="53" spans="2:8" ht="47.25" x14ac:dyDescent="0.25">
      <c r="B53" s="8" t="s">
        <v>169</v>
      </c>
      <c r="C53" s="8" t="s">
        <v>222</v>
      </c>
      <c r="D53" s="8" t="s">
        <v>223</v>
      </c>
      <c r="E53" s="8" t="s">
        <v>698</v>
      </c>
      <c r="F53" s="8">
        <v>1</v>
      </c>
      <c r="G53" s="44">
        <f>'ANÁLISE DOS PREÇOS COLETADOS'!AD106</f>
        <v>200</v>
      </c>
      <c r="H53" s="44">
        <f t="shared" si="0"/>
        <v>200</v>
      </c>
    </row>
    <row r="54" spans="2:8" ht="78.75" x14ac:dyDescent="0.25">
      <c r="B54" s="8" t="s">
        <v>172</v>
      </c>
      <c r="C54" s="8" t="s">
        <v>226</v>
      </c>
      <c r="D54" s="8" t="s">
        <v>227</v>
      </c>
      <c r="E54" s="8" t="s">
        <v>70</v>
      </c>
      <c r="F54" s="8">
        <v>3</v>
      </c>
      <c r="G54" s="44">
        <f>'ANÁLISE DOS PREÇOS COLETADOS'!AD107</f>
        <v>5</v>
      </c>
      <c r="H54" s="44">
        <f t="shared" si="0"/>
        <v>15</v>
      </c>
    </row>
    <row r="55" spans="2:8" ht="15.75" x14ac:dyDescent="0.25">
      <c r="B55" s="84" t="s">
        <v>401</v>
      </c>
      <c r="C55" s="84"/>
      <c r="D55" s="84"/>
      <c r="E55" s="84"/>
      <c r="F55" s="84"/>
      <c r="G55" s="118">
        <f>SUM(H20:H54)</f>
        <v>4051.01</v>
      </c>
      <c r="H55" s="78"/>
    </row>
    <row r="56" spans="2:8" ht="15.75" customHeight="1" x14ac:dyDescent="0.25">
      <c r="B56" s="84" t="s">
        <v>228</v>
      </c>
      <c r="C56" s="84"/>
      <c r="D56" s="84"/>
      <c r="E56" s="84"/>
      <c r="F56" s="84"/>
      <c r="G56" s="84"/>
      <c r="H56" s="84"/>
    </row>
    <row r="57" spans="2:8" ht="45" x14ac:dyDescent="0.25">
      <c r="B57" s="11" t="s">
        <v>1</v>
      </c>
      <c r="C57" s="11" t="s">
        <v>2</v>
      </c>
      <c r="D57" s="11" t="s">
        <v>3</v>
      </c>
      <c r="E57" s="11" t="s">
        <v>396</v>
      </c>
      <c r="F57" s="11" t="s">
        <v>4</v>
      </c>
      <c r="G57" s="47" t="s">
        <v>759</v>
      </c>
      <c r="H57" s="47" t="s">
        <v>767</v>
      </c>
    </row>
    <row r="58" spans="2:8" ht="141.75" x14ac:dyDescent="0.25">
      <c r="B58" s="8" t="s">
        <v>229</v>
      </c>
      <c r="C58" s="8" t="s">
        <v>230</v>
      </c>
      <c r="D58" s="8" t="s">
        <v>231</v>
      </c>
      <c r="E58" s="8" t="s">
        <v>232</v>
      </c>
      <c r="F58" s="8">
        <v>2</v>
      </c>
      <c r="G58" s="44">
        <f>'ANÁLISE DOS PREÇOS COLETADOS'!AD111</f>
        <v>170.83333333333334</v>
      </c>
      <c r="H58" s="44">
        <f>G58*F58</f>
        <v>341.66666666666669</v>
      </c>
    </row>
    <row r="59" spans="2:8" ht="126" x14ac:dyDescent="0.25">
      <c r="B59" s="122" t="s">
        <v>233</v>
      </c>
      <c r="C59" s="122" t="s">
        <v>234</v>
      </c>
      <c r="D59" s="8" t="s">
        <v>235</v>
      </c>
      <c r="E59" s="122" t="s">
        <v>244</v>
      </c>
      <c r="F59" s="122">
        <v>1</v>
      </c>
      <c r="G59" s="90">
        <f>'ANÁLISE DOS PREÇOS COLETADOS'!AD112</f>
        <v>133.33333333333334</v>
      </c>
      <c r="H59" s="90">
        <f>G59*F59</f>
        <v>133.33333333333334</v>
      </c>
    </row>
    <row r="60" spans="2:8" ht="63" x14ac:dyDescent="0.25">
      <c r="B60" s="122"/>
      <c r="C60" s="122"/>
      <c r="D60" s="8" t="s">
        <v>236</v>
      </c>
      <c r="E60" s="122"/>
      <c r="F60" s="122"/>
      <c r="G60" s="91"/>
      <c r="H60" s="91"/>
    </row>
    <row r="61" spans="2:8" ht="63" x14ac:dyDescent="0.25">
      <c r="B61" s="122"/>
      <c r="C61" s="122"/>
      <c r="D61" s="8" t="s">
        <v>237</v>
      </c>
      <c r="E61" s="122"/>
      <c r="F61" s="122"/>
      <c r="G61" s="91"/>
      <c r="H61" s="91"/>
    </row>
    <row r="62" spans="2:8" ht="63" x14ac:dyDescent="0.25">
      <c r="B62" s="122"/>
      <c r="C62" s="122"/>
      <c r="D62" s="8" t="s">
        <v>238</v>
      </c>
      <c r="E62" s="122"/>
      <c r="F62" s="122"/>
      <c r="G62" s="91"/>
      <c r="H62" s="91"/>
    </row>
    <row r="63" spans="2:8" ht="63" x14ac:dyDescent="0.25">
      <c r="B63" s="122"/>
      <c r="C63" s="122"/>
      <c r="D63" s="8" t="s">
        <v>239</v>
      </c>
      <c r="E63" s="122"/>
      <c r="F63" s="122"/>
      <c r="G63" s="91"/>
      <c r="H63" s="91"/>
    </row>
    <row r="64" spans="2:8" ht="126" x14ac:dyDescent="0.25">
      <c r="B64" s="122"/>
      <c r="C64" s="122"/>
      <c r="D64" s="8" t="s">
        <v>240</v>
      </c>
      <c r="E64" s="122"/>
      <c r="F64" s="122"/>
      <c r="G64" s="91"/>
      <c r="H64" s="91"/>
    </row>
    <row r="65" spans="2:8" ht="31.5" x14ac:dyDescent="0.25">
      <c r="B65" s="122"/>
      <c r="C65" s="122"/>
      <c r="D65" s="8" t="s">
        <v>241</v>
      </c>
      <c r="E65" s="122"/>
      <c r="F65" s="122"/>
      <c r="G65" s="91"/>
      <c r="H65" s="91"/>
    </row>
    <row r="66" spans="2:8" ht="110.25" x14ac:dyDescent="0.25">
      <c r="B66" s="122"/>
      <c r="C66" s="122"/>
      <c r="D66" s="8" t="s">
        <v>242</v>
      </c>
      <c r="E66" s="122"/>
      <c r="F66" s="122"/>
      <c r="G66" s="91"/>
      <c r="H66" s="91"/>
    </row>
    <row r="67" spans="2:8" ht="47.25" x14ac:dyDescent="0.25">
      <c r="B67" s="122"/>
      <c r="C67" s="122"/>
      <c r="D67" s="8" t="s">
        <v>243</v>
      </c>
      <c r="E67" s="122"/>
      <c r="F67" s="122"/>
      <c r="G67" s="91"/>
      <c r="H67" s="91"/>
    </row>
    <row r="68" spans="2:8" ht="94.5" x14ac:dyDescent="0.25">
      <c r="B68" s="8" t="s">
        <v>245</v>
      </c>
      <c r="C68" s="8" t="s">
        <v>252</v>
      </c>
      <c r="D68" s="8" t="s">
        <v>699</v>
      </c>
      <c r="E68" s="8" t="s">
        <v>395</v>
      </c>
      <c r="F68" s="8">
        <v>2</v>
      </c>
      <c r="G68" s="44">
        <f>'ANÁLISE DOS PREÇOS COLETADOS'!AD125</f>
        <v>193.75</v>
      </c>
      <c r="H68" s="44">
        <f>G68*F68</f>
        <v>387.5</v>
      </c>
    </row>
    <row r="69" spans="2:8" ht="78.75" x14ac:dyDescent="0.25">
      <c r="B69" s="8" t="s">
        <v>248</v>
      </c>
      <c r="C69" s="8" t="s">
        <v>258</v>
      </c>
      <c r="D69" s="8" t="s">
        <v>259</v>
      </c>
      <c r="E69" s="8" t="s">
        <v>244</v>
      </c>
      <c r="F69" s="8">
        <v>1</v>
      </c>
      <c r="G69" s="44">
        <f>'ANÁLISE DOS PREÇOS COLETADOS'!AD127</f>
        <v>144.25</v>
      </c>
      <c r="H69" s="44">
        <f t="shared" ref="H69:H71" si="1">G69*F69</f>
        <v>144.25</v>
      </c>
    </row>
    <row r="70" spans="2:8" ht="31.5" x14ac:dyDescent="0.25">
      <c r="B70" s="8" t="s">
        <v>251</v>
      </c>
      <c r="C70" s="8" t="s">
        <v>261</v>
      </c>
      <c r="D70" s="8" t="s">
        <v>262</v>
      </c>
      <c r="E70" s="8" t="s">
        <v>244</v>
      </c>
      <c r="F70" s="8">
        <v>1</v>
      </c>
      <c r="G70" s="44">
        <f>'ANÁLISE DOS PREÇOS COLETADOS'!AD129</f>
        <v>200</v>
      </c>
      <c r="H70" s="44">
        <f t="shared" si="1"/>
        <v>200</v>
      </c>
    </row>
    <row r="71" spans="2:8" ht="94.5" x14ac:dyDescent="0.25">
      <c r="B71" s="8" t="s">
        <v>254</v>
      </c>
      <c r="C71" s="8" t="s">
        <v>273</v>
      </c>
      <c r="D71" s="8" t="s">
        <v>274</v>
      </c>
      <c r="E71" s="8" t="s">
        <v>244</v>
      </c>
      <c r="F71" s="8">
        <v>1</v>
      </c>
      <c r="G71" s="44">
        <f>'ANÁLISE DOS PREÇOS COLETADOS'!AD138</f>
        <v>150</v>
      </c>
      <c r="H71" s="44">
        <f t="shared" si="1"/>
        <v>150</v>
      </c>
    </row>
    <row r="72" spans="2:8" ht="15.75" x14ac:dyDescent="0.25">
      <c r="B72" s="84" t="s">
        <v>402</v>
      </c>
      <c r="C72" s="84"/>
      <c r="D72" s="84"/>
      <c r="E72" s="84"/>
      <c r="F72" s="84"/>
      <c r="G72" s="118">
        <f>SUM(H58:H71)</f>
        <v>1356.75</v>
      </c>
      <c r="H72" s="78"/>
    </row>
    <row r="73" spans="2:8" ht="15.75" customHeight="1" x14ac:dyDescent="0.25">
      <c r="B73" s="84" t="s">
        <v>384</v>
      </c>
      <c r="C73" s="84"/>
      <c r="D73" s="84"/>
      <c r="E73" s="84"/>
      <c r="F73" s="84"/>
      <c r="G73" s="84"/>
      <c r="H73" s="84"/>
    </row>
    <row r="74" spans="2:8" ht="45" x14ac:dyDescent="0.25">
      <c r="B74" s="11" t="s">
        <v>1</v>
      </c>
      <c r="C74" s="11" t="s">
        <v>2</v>
      </c>
      <c r="D74" s="11" t="s">
        <v>3</v>
      </c>
      <c r="E74" s="11" t="s">
        <v>396</v>
      </c>
      <c r="F74" s="11" t="s">
        <v>4</v>
      </c>
      <c r="G74" s="47" t="s">
        <v>759</v>
      </c>
      <c r="H74" s="47" t="s">
        <v>767</v>
      </c>
    </row>
    <row r="75" spans="2:8" ht="47.25" x14ac:dyDescent="0.25">
      <c r="B75" s="8" t="s">
        <v>385</v>
      </c>
      <c r="C75" s="8" t="s">
        <v>616</v>
      </c>
      <c r="D75" s="8" t="s">
        <v>390</v>
      </c>
      <c r="E75" s="8" t="s">
        <v>70</v>
      </c>
      <c r="F75" s="8">
        <v>1</v>
      </c>
      <c r="G75" s="44">
        <f>'ANÁLISE DOS PREÇOS COLETADOS'!AD246</f>
        <v>5</v>
      </c>
      <c r="H75" s="44">
        <f>G75*F75</f>
        <v>5</v>
      </c>
    </row>
    <row r="76" spans="2:8" ht="15.75" x14ac:dyDescent="0.25">
      <c r="B76" s="84" t="s">
        <v>406</v>
      </c>
      <c r="C76" s="84"/>
      <c r="D76" s="84"/>
      <c r="E76" s="84"/>
      <c r="F76" s="84"/>
      <c r="G76" s="118">
        <f>H75</f>
        <v>5</v>
      </c>
      <c r="H76" s="78"/>
    </row>
    <row r="77" spans="2:8" ht="15.75" x14ac:dyDescent="0.25">
      <c r="B77" s="122"/>
      <c r="C77" s="122"/>
      <c r="D77" s="122"/>
      <c r="E77" s="122"/>
      <c r="F77" s="122"/>
      <c r="G77" s="122"/>
      <c r="H77" s="122"/>
    </row>
    <row r="78" spans="2:8" ht="15.75" customHeight="1" x14ac:dyDescent="0.25">
      <c r="B78" s="84" t="s">
        <v>768</v>
      </c>
      <c r="C78" s="84"/>
      <c r="D78" s="84"/>
      <c r="E78" s="84"/>
      <c r="F78" s="84"/>
      <c r="G78" s="118">
        <f>SUM(G17,G55,G72)</f>
        <v>5975.4350000000004</v>
      </c>
      <c r="H78" s="78"/>
    </row>
    <row r="79" spans="2:8" ht="15.75" x14ac:dyDescent="0.25">
      <c r="B79" s="84" t="s">
        <v>769</v>
      </c>
      <c r="C79" s="84"/>
      <c r="D79" s="84"/>
      <c r="E79" s="84"/>
      <c r="F79" s="84"/>
      <c r="G79" s="91">
        <v>74</v>
      </c>
      <c r="H79" s="91"/>
    </row>
    <row r="80" spans="2:8" ht="15.75" x14ac:dyDescent="0.25">
      <c r="B80" s="84" t="s">
        <v>772</v>
      </c>
      <c r="C80" s="84"/>
      <c r="D80" s="84"/>
      <c r="E80" s="84"/>
      <c r="F80" s="84"/>
      <c r="G80" s="118">
        <f>G78*G79</f>
        <v>442182.19</v>
      </c>
      <c r="H80" s="78"/>
    </row>
  </sheetData>
  <mergeCells count="37">
    <mergeCell ref="B2:H2"/>
    <mergeCell ref="G4:G6"/>
    <mergeCell ref="H4:H6"/>
    <mergeCell ref="G7:G15"/>
    <mergeCell ref="H7:H15"/>
    <mergeCell ref="B7:B15"/>
    <mergeCell ref="C7:C15"/>
    <mergeCell ref="E7:E15"/>
    <mergeCell ref="F7:F15"/>
    <mergeCell ref="B4:B6"/>
    <mergeCell ref="C4:C6"/>
    <mergeCell ref="E4:E6"/>
    <mergeCell ref="F4:F6"/>
    <mergeCell ref="G17:H17"/>
    <mergeCell ref="G55:H55"/>
    <mergeCell ref="H59:H67"/>
    <mergeCell ref="G72:H72"/>
    <mergeCell ref="G76:H76"/>
    <mergeCell ref="B56:H56"/>
    <mergeCell ref="B18:H18"/>
    <mergeCell ref="G59:G67"/>
    <mergeCell ref="B59:B67"/>
    <mergeCell ref="C59:C67"/>
    <mergeCell ref="E59:E67"/>
    <mergeCell ref="F59:F67"/>
    <mergeCell ref="B72:F72"/>
    <mergeCell ref="B76:F76"/>
    <mergeCell ref="B55:F55"/>
    <mergeCell ref="B17:F17"/>
    <mergeCell ref="B77:H77"/>
    <mergeCell ref="G78:H78"/>
    <mergeCell ref="G79:H79"/>
    <mergeCell ref="G80:H80"/>
    <mergeCell ref="B73:H73"/>
    <mergeCell ref="B80:F80"/>
    <mergeCell ref="B78:F78"/>
    <mergeCell ref="B79:F79"/>
  </mergeCells>
  <pageMargins left="0.511811024" right="0.511811024" top="0.78740157499999996" bottom="0.78740157499999996" header="0.31496062000000002" footer="0.31496062000000002"/>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21B3-D4CA-40C8-AB71-19C5DC91CA7F}">
  <dimension ref="B2:H185"/>
  <sheetViews>
    <sheetView topLeftCell="A49" zoomScale="96" zoomScaleNormal="96" workbookViewId="0">
      <selection activeCell="K65" sqref="K65"/>
    </sheetView>
  </sheetViews>
  <sheetFormatPr defaultRowHeight="15" x14ac:dyDescent="0.25"/>
  <cols>
    <col min="2" max="2" width="10.42578125" bestFit="1" customWidth="1"/>
    <col min="3" max="3" width="24" customWidth="1"/>
    <col min="4" max="4" width="93.42578125" bestFit="1" customWidth="1"/>
    <col min="5" max="5" width="20" customWidth="1"/>
    <col min="7" max="7" width="18.85546875" customWidth="1"/>
    <col min="8" max="8" width="18.7109375" customWidth="1"/>
  </cols>
  <sheetData>
    <row r="2" spans="2:8" ht="15.75" customHeight="1" x14ac:dyDescent="0.25">
      <c r="B2" s="84" t="s">
        <v>8</v>
      </c>
      <c r="C2" s="84"/>
      <c r="D2" s="84"/>
      <c r="E2" s="84"/>
      <c r="F2" s="84"/>
      <c r="G2" s="84"/>
      <c r="H2" s="84"/>
    </row>
    <row r="3" spans="2:8" ht="45" x14ac:dyDescent="0.25">
      <c r="B3" s="11" t="s">
        <v>1</v>
      </c>
      <c r="C3" s="11" t="s">
        <v>2</v>
      </c>
      <c r="D3" s="11" t="s">
        <v>3</v>
      </c>
      <c r="E3" s="11" t="s">
        <v>396</v>
      </c>
      <c r="F3" s="11" t="s">
        <v>4</v>
      </c>
      <c r="G3" s="47" t="s">
        <v>759</v>
      </c>
      <c r="H3" s="47" t="s">
        <v>767</v>
      </c>
    </row>
    <row r="4" spans="2:8" ht="31.5" x14ac:dyDescent="0.25">
      <c r="B4" s="8" t="s">
        <v>9</v>
      </c>
      <c r="C4" s="8" t="s">
        <v>10</v>
      </c>
      <c r="D4" s="8" t="s">
        <v>11</v>
      </c>
      <c r="E4" s="8" t="s">
        <v>12</v>
      </c>
      <c r="F4" s="8">
        <v>20</v>
      </c>
      <c r="G4" s="44">
        <f>'ANÁLISE DOS PREÇOS COLETADOS'!AD5</f>
        <v>3.21</v>
      </c>
      <c r="H4" s="44">
        <f>G4*F4</f>
        <v>64.2</v>
      </c>
    </row>
    <row r="5" spans="2:8" ht="31.5" x14ac:dyDescent="0.25">
      <c r="B5" s="8" t="s">
        <v>13</v>
      </c>
      <c r="C5" s="8" t="s">
        <v>14</v>
      </c>
      <c r="D5" s="8" t="s">
        <v>15</v>
      </c>
      <c r="E5" s="8" t="s">
        <v>12</v>
      </c>
      <c r="F5" s="8">
        <v>4</v>
      </c>
      <c r="G5" s="44">
        <f>'ANÁLISE DOS PREÇOS COLETADOS'!AD7</f>
        <v>22.5</v>
      </c>
      <c r="H5" s="44">
        <f t="shared" ref="H5:H8" si="0">G5*F5</f>
        <v>90</v>
      </c>
    </row>
    <row r="6" spans="2:8" ht="31.5" x14ac:dyDescent="0.25">
      <c r="B6" s="8" t="s">
        <v>16</v>
      </c>
      <c r="C6" s="8" t="s">
        <v>21</v>
      </c>
      <c r="D6" s="8" t="s">
        <v>22</v>
      </c>
      <c r="E6" s="8" t="s">
        <v>12</v>
      </c>
      <c r="F6" s="8">
        <v>4</v>
      </c>
      <c r="G6" s="44">
        <f>'ANÁLISE DOS PREÇOS COLETADOS'!AD26</f>
        <v>20</v>
      </c>
      <c r="H6" s="44">
        <f t="shared" si="0"/>
        <v>80</v>
      </c>
    </row>
    <row r="7" spans="2:8" ht="204.75" x14ac:dyDescent="0.25">
      <c r="B7" s="8" t="s">
        <v>20</v>
      </c>
      <c r="C7" s="8" t="s">
        <v>412</v>
      </c>
      <c r="D7" s="8" t="s">
        <v>26</v>
      </c>
      <c r="E7" s="8" t="s">
        <v>19</v>
      </c>
      <c r="F7" s="8">
        <v>50</v>
      </c>
      <c r="G7" s="44">
        <f>'ANÁLISE DOS PREÇOS COLETADOS'!AD9</f>
        <v>21</v>
      </c>
      <c r="H7" s="44">
        <f t="shared" si="0"/>
        <v>1050</v>
      </c>
    </row>
    <row r="8" spans="2:8" ht="31.5" x14ac:dyDescent="0.25">
      <c r="B8" s="8" t="s">
        <v>24</v>
      </c>
      <c r="C8" s="8" t="s">
        <v>39</v>
      </c>
      <c r="D8" s="8" t="s">
        <v>40</v>
      </c>
      <c r="E8" s="8" t="s">
        <v>418</v>
      </c>
      <c r="F8" s="8">
        <v>3</v>
      </c>
      <c r="G8" s="44">
        <f>'ANÁLISE DOS PREÇOS COLETADOS'!AD27</f>
        <v>45.225000000000001</v>
      </c>
      <c r="H8" s="44">
        <f t="shared" si="0"/>
        <v>135.67500000000001</v>
      </c>
    </row>
    <row r="9" spans="2:8" ht="15.75" x14ac:dyDescent="0.25">
      <c r="B9" s="84" t="s">
        <v>398</v>
      </c>
      <c r="C9" s="84"/>
      <c r="D9" s="84"/>
      <c r="E9" s="84"/>
      <c r="F9" s="84"/>
      <c r="G9" s="80">
        <f>SUM(H4:H8)</f>
        <v>1419.875</v>
      </c>
      <c r="H9" s="81"/>
    </row>
    <row r="10" spans="2:8" ht="15.75" customHeight="1" x14ac:dyDescent="0.25">
      <c r="B10" s="91" t="s">
        <v>42</v>
      </c>
      <c r="C10" s="91"/>
      <c r="D10" s="91"/>
      <c r="E10" s="91"/>
      <c r="F10" s="91"/>
      <c r="G10" s="91"/>
      <c r="H10" s="91"/>
    </row>
    <row r="11" spans="2:8" ht="45" x14ac:dyDescent="0.25">
      <c r="B11" s="11" t="s">
        <v>1</v>
      </c>
      <c r="C11" s="11" t="s">
        <v>2</v>
      </c>
      <c r="D11" s="11" t="s">
        <v>3</v>
      </c>
      <c r="E11" s="11" t="s">
        <v>396</v>
      </c>
      <c r="F11" s="11" t="s">
        <v>4</v>
      </c>
      <c r="G11" s="47" t="s">
        <v>759</v>
      </c>
      <c r="H11" s="47" t="s">
        <v>767</v>
      </c>
    </row>
    <row r="12" spans="2:8" ht="47.25" x14ac:dyDescent="0.25">
      <c r="B12" s="8" t="s">
        <v>43</v>
      </c>
      <c r="C12" s="8" t="s">
        <v>44</v>
      </c>
      <c r="D12" s="8" t="s">
        <v>45</v>
      </c>
      <c r="E12" s="8" t="s">
        <v>46</v>
      </c>
      <c r="F12" s="8">
        <v>1</v>
      </c>
      <c r="G12" s="44">
        <f>'ANÁLISE DOS PREÇOS COLETADOS'!AD29</f>
        <v>359.25875000000002</v>
      </c>
      <c r="H12" s="44">
        <f>G12*F12</f>
        <v>359.25875000000002</v>
      </c>
    </row>
    <row r="13" spans="2:8" ht="31.5" x14ac:dyDescent="0.25">
      <c r="B13" s="8" t="s">
        <v>47</v>
      </c>
      <c r="C13" s="8" t="s">
        <v>48</v>
      </c>
      <c r="D13" s="8" t="s">
        <v>45</v>
      </c>
      <c r="E13" s="8" t="s">
        <v>154</v>
      </c>
      <c r="F13" s="8">
        <v>1</v>
      </c>
      <c r="G13" s="44">
        <f>'ANÁLISE DOS PREÇOS COLETADOS'!AD30</f>
        <v>50</v>
      </c>
      <c r="H13" s="44">
        <f t="shared" ref="H13:H15" si="1">G13*F13</f>
        <v>50</v>
      </c>
    </row>
    <row r="14" spans="2:8" ht="47.25" x14ac:dyDescent="0.25">
      <c r="B14" s="8" t="s">
        <v>50</v>
      </c>
      <c r="C14" s="8" t="s">
        <v>51</v>
      </c>
      <c r="D14" s="8" t="s">
        <v>419</v>
      </c>
      <c r="E14" s="8" t="s">
        <v>46</v>
      </c>
      <c r="F14" s="8">
        <v>1</v>
      </c>
      <c r="G14" s="44">
        <f>'ANÁLISE DOS PREÇOS COLETADOS'!AD31</f>
        <v>310</v>
      </c>
      <c r="H14" s="44">
        <f t="shared" si="1"/>
        <v>310</v>
      </c>
    </row>
    <row r="15" spans="2:8" ht="31.5" x14ac:dyDescent="0.25">
      <c r="B15" s="8" t="s">
        <v>53</v>
      </c>
      <c r="C15" s="8" t="s">
        <v>54</v>
      </c>
      <c r="D15" s="8" t="s">
        <v>419</v>
      </c>
      <c r="E15" s="8" t="s">
        <v>154</v>
      </c>
      <c r="F15" s="8">
        <v>1</v>
      </c>
      <c r="G15" s="44">
        <f>'ANÁLISE DOS PREÇOS COLETADOS'!AD32</f>
        <v>25.301500000000001</v>
      </c>
      <c r="H15" s="44">
        <f t="shared" si="1"/>
        <v>25.301500000000001</v>
      </c>
    </row>
    <row r="16" spans="2:8" ht="15.75" x14ac:dyDescent="0.25">
      <c r="B16" s="84" t="s">
        <v>399</v>
      </c>
      <c r="C16" s="84"/>
      <c r="D16" s="84"/>
      <c r="E16" s="84"/>
      <c r="F16" s="84"/>
      <c r="G16" s="118">
        <f>SUM(H12:H15)</f>
        <v>744.56025</v>
      </c>
      <c r="H16" s="78"/>
    </row>
    <row r="17" spans="2:8" ht="15.75" customHeight="1" x14ac:dyDescent="0.25">
      <c r="B17" s="84" t="s">
        <v>56</v>
      </c>
      <c r="C17" s="84"/>
      <c r="D17" s="84"/>
      <c r="E17" s="84"/>
      <c r="F17" s="84"/>
      <c r="G17" s="84"/>
      <c r="H17" s="84"/>
    </row>
    <row r="18" spans="2:8" ht="45" x14ac:dyDescent="0.25">
      <c r="B18" s="11" t="s">
        <v>1</v>
      </c>
      <c r="C18" s="11" t="s">
        <v>2</v>
      </c>
      <c r="D18" s="11" t="s">
        <v>3</v>
      </c>
      <c r="E18" s="11" t="s">
        <v>396</v>
      </c>
      <c r="F18" s="11" t="s">
        <v>4</v>
      </c>
      <c r="G18" s="47" t="s">
        <v>759</v>
      </c>
      <c r="H18" s="47" t="s">
        <v>767</v>
      </c>
    </row>
    <row r="19" spans="2:8" ht="47.25" x14ac:dyDescent="0.25">
      <c r="B19" s="8" t="s">
        <v>57</v>
      </c>
      <c r="C19" s="8" t="s">
        <v>58</v>
      </c>
      <c r="D19" s="8" t="s">
        <v>59</v>
      </c>
      <c r="E19" s="8" t="s">
        <v>633</v>
      </c>
      <c r="F19" s="35">
        <v>175</v>
      </c>
      <c r="G19" s="44">
        <f>'ANÁLISE DOS PREÇOS COLETADOS'!AD35</f>
        <v>21.912950000000002</v>
      </c>
      <c r="H19" s="44">
        <f>G19*F19</f>
        <v>3834.7662500000006</v>
      </c>
    </row>
    <row r="20" spans="2:8" ht="15.75" x14ac:dyDescent="0.25">
      <c r="B20" s="8" t="s">
        <v>60</v>
      </c>
      <c r="C20" s="8" t="s">
        <v>634</v>
      </c>
      <c r="D20" s="8" t="s">
        <v>635</v>
      </c>
      <c r="E20" s="8" t="s">
        <v>70</v>
      </c>
      <c r="F20" s="35">
        <v>10</v>
      </c>
      <c r="G20" s="44">
        <f>'ANÁLISE DOS PREÇOS COLETADOS'!AD36</f>
        <v>5</v>
      </c>
      <c r="H20" s="44">
        <f t="shared" ref="H20:H22" si="2">G20*F20</f>
        <v>50</v>
      </c>
    </row>
    <row r="21" spans="2:8" ht="47.25" x14ac:dyDescent="0.25">
      <c r="B21" s="8" t="s">
        <v>62</v>
      </c>
      <c r="C21" s="8" t="s">
        <v>473</v>
      </c>
      <c r="D21" s="8" t="s">
        <v>474</v>
      </c>
      <c r="E21" s="8" t="s">
        <v>636</v>
      </c>
      <c r="F21" s="35">
        <v>50</v>
      </c>
      <c r="G21" s="44">
        <f>'ANÁLISE DOS PREÇOS COLETADOS'!AD38</f>
        <v>210</v>
      </c>
      <c r="H21" s="44">
        <f t="shared" si="2"/>
        <v>10500</v>
      </c>
    </row>
    <row r="22" spans="2:8" ht="47.25" x14ac:dyDescent="0.25">
      <c r="B22" s="8" t="s">
        <v>64</v>
      </c>
      <c r="C22" s="8" t="s">
        <v>61</v>
      </c>
      <c r="D22" s="8" t="s">
        <v>59</v>
      </c>
      <c r="E22" s="8" t="s">
        <v>633</v>
      </c>
      <c r="F22" s="35">
        <v>50</v>
      </c>
      <c r="G22" s="44">
        <f>'ANÁLISE DOS PREÇOS COLETADOS'!AD39</f>
        <v>30</v>
      </c>
      <c r="H22" s="44">
        <f t="shared" si="2"/>
        <v>1500</v>
      </c>
    </row>
    <row r="23" spans="2:8" ht="15.75" x14ac:dyDescent="0.25">
      <c r="B23" s="84" t="s">
        <v>400</v>
      </c>
      <c r="C23" s="84"/>
      <c r="D23" s="84"/>
      <c r="E23" s="84"/>
      <c r="F23" s="84"/>
      <c r="G23" s="118">
        <f>SUM(H19:H22)</f>
        <v>15884.766250000001</v>
      </c>
      <c r="H23" s="78"/>
    </row>
    <row r="24" spans="2:8" ht="15.75" customHeight="1" x14ac:dyDescent="0.25">
      <c r="B24" s="84" t="s">
        <v>66</v>
      </c>
      <c r="C24" s="84"/>
      <c r="D24" s="84"/>
      <c r="E24" s="84"/>
      <c r="F24" s="84"/>
      <c r="G24" s="84"/>
      <c r="H24" s="84"/>
    </row>
    <row r="25" spans="2:8" ht="45" x14ac:dyDescent="0.25">
      <c r="B25" s="11" t="s">
        <v>1</v>
      </c>
      <c r="C25" s="11" t="s">
        <v>2</v>
      </c>
      <c r="D25" s="11" t="s">
        <v>3</v>
      </c>
      <c r="E25" s="11" t="s">
        <v>396</v>
      </c>
      <c r="F25" s="11" t="s">
        <v>4</v>
      </c>
      <c r="G25" s="47" t="s">
        <v>759</v>
      </c>
      <c r="H25" s="47" t="s">
        <v>767</v>
      </c>
    </row>
    <row r="26" spans="2:8" ht="47.25" x14ac:dyDescent="0.25">
      <c r="B26" s="8" t="s">
        <v>67</v>
      </c>
      <c r="C26" s="8" t="s">
        <v>68</v>
      </c>
      <c r="D26" s="8" t="s">
        <v>69</v>
      </c>
      <c r="E26" s="8" t="s">
        <v>70</v>
      </c>
      <c r="F26" s="8">
        <v>1</v>
      </c>
      <c r="G26" s="44">
        <f>'ANÁLISE DOS PREÇOS COLETADOS'!AD43</f>
        <v>500</v>
      </c>
      <c r="H26" s="44">
        <f>G26*F26</f>
        <v>500</v>
      </c>
    </row>
    <row r="27" spans="2:8" ht="15.75" x14ac:dyDescent="0.25">
      <c r="B27" s="8" t="s">
        <v>71</v>
      </c>
      <c r="C27" s="8" t="s">
        <v>701</v>
      </c>
      <c r="D27" s="8" t="s">
        <v>702</v>
      </c>
      <c r="E27" s="8" t="s">
        <v>490</v>
      </c>
      <c r="F27" s="8">
        <v>1</v>
      </c>
      <c r="G27" s="44">
        <f>'ANÁLISE DOS PREÇOS COLETADOS'!AD45</f>
        <v>5</v>
      </c>
      <c r="H27" s="44">
        <f t="shared" ref="H27:H56" si="3">G27*F27</f>
        <v>5</v>
      </c>
    </row>
    <row r="28" spans="2:8" ht="15.75" x14ac:dyDescent="0.25">
      <c r="B28" s="8" t="s">
        <v>74</v>
      </c>
      <c r="C28" s="8" t="s">
        <v>421</v>
      </c>
      <c r="D28" s="8" t="s">
        <v>422</v>
      </c>
      <c r="E28" s="8" t="s">
        <v>70</v>
      </c>
      <c r="F28" s="8">
        <v>1</v>
      </c>
      <c r="G28" s="44">
        <f>'ANÁLISE DOS PREÇOS COLETADOS'!AD45</f>
        <v>5</v>
      </c>
      <c r="H28" s="44">
        <f t="shared" si="3"/>
        <v>5</v>
      </c>
    </row>
    <row r="29" spans="2:8" ht="47.25" x14ac:dyDescent="0.25">
      <c r="B29" s="8" t="s">
        <v>77</v>
      </c>
      <c r="C29" s="8" t="s">
        <v>75</v>
      </c>
      <c r="D29" s="8" t="s">
        <v>703</v>
      </c>
      <c r="E29" s="8" t="s">
        <v>70</v>
      </c>
      <c r="F29" s="8">
        <v>2</v>
      </c>
      <c r="G29" s="44">
        <f>'ANÁLISE DOS PREÇOS COLETADOS'!AD46</f>
        <v>23</v>
      </c>
      <c r="H29" s="44">
        <f t="shared" si="3"/>
        <v>46</v>
      </c>
    </row>
    <row r="30" spans="2:8" ht="15.75" x14ac:dyDescent="0.25">
      <c r="B30" s="8" t="s">
        <v>80</v>
      </c>
      <c r="C30" s="8" t="s">
        <v>81</v>
      </c>
      <c r="D30" s="8" t="s">
        <v>82</v>
      </c>
      <c r="E30" s="8" t="s">
        <v>70</v>
      </c>
      <c r="F30" s="8">
        <v>2</v>
      </c>
      <c r="G30" s="44">
        <f>'ANÁLISE DOS PREÇOS COLETADOS'!AD47</f>
        <v>9.2800000000000011</v>
      </c>
      <c r="H30" s="44">
        <f t="shared" si="3"/>
        <v>18.560000000000002</v>
      </c>
    </row>
    <row r="31" spans="2:8" ht="15.75" x14ac:dyDescent="0.25">
      <c r="B31" s="8" t="s">
        <v>83</v>
      </c>
      <c r="C31" s="8" t="s">
        <v>84</v>
      </c>
      <c r="D31" s="8" t="s">
        <v>704</v>
      </c>
      <c r="E31" s="8" t="s">
        <v>70</v>
      </c>
      <c r="F31" s="8">
        <v>2</v>
      </c>
      <c r="G31" s="44">
        <f>'ANÁLISE DOS PREÇOS COLETADOS'!AD49</f>
        <v>90</v>
      </c>
      <c r="H31" s="44">
        <f t="shared" si="3"/>
        <v>180</v>
      </c>
    </row>
    <row r="32" spans="2:8" ht="15.75" x14ac:dyDescent="0.25">
      <c r="B32" s="8" t="s">
        <v>86</v>
      </c>
      <c r="C32" s="8" t="s">
        <v>705</v>
      </c>
      <c r="D32" s="8" t="s">
        <v>706</v>
      </c>
      <c r="E32" s="8" t="s">
        <v>70</v>
      </c>
      <c r="F32" s="8">
        <v>1</v>
      </c>
      <c r="G32" s="44">
        <f>'ANÁLISE DOS PREÇOS COLETADOS'!AD50</f>
        <v>87.5</v>
      </c>
      <c r="H32" s="44">
        <f t="shared" si="3"/>
        <v>87.5</v>
      </c>
    </row>
    <row r="33" spans="2:8" ht="15.75" x14ac:dyDescent="0.25">
      <c r="B33" s="8" t="s">
        <v>88</v>
      </c>
      <c r="C33" s="8" t="s">
        <v>707</v>
      </c>
      <c r="D33" s="8" t="s">
        <v>708</v>
      </c>
      <c r="E33" s="8" t="s">
        <v>70</v>
      </c>
      <c r="F33" s="8">
        <v>1</v>
      </c>
      <c r="G33" s="44">
        <f>'ANÁLISE DOS PREÇOS COLETADOS'!AD51</f>
        <v>43.002499999999998</v>
      </c>
      <c r="H33" s="44">
        <f t="shared" si="3"/>
        <v>43.002499999999998</v>
      </c>
    </row>
    <row r="34" spans="2:8" ht="94.5" x14ac:dyDescent="0.25">
      <c r="B34" s="8" t="s">
        <v>91</v>
      </c>
      <c r="C34" s="8" t="s">
        <v>92</v>
      </c>
      <c r="D34" s="8" t="s">
        <v>93</v>
      </c>
      <c r="E34" s="8" t="s">
        <v>70</v>
      </c>
      <c r="F34" s="8">
        <v>1</v>
      </c>
      <c r="G34" s="44">
        <f>'ANÁLISE DOS PREÇOS COLETADOS'!AD52</f>
        <v>20</v>
      </c>
      <c r="H34" s="44">
        <f t="shared" si="3"/>
        <v>20</v>
      </c>
    </row>
    <row r="35" spans="2:8" ht="78.75" x14ac:dyDescent="0.25">
      <c r="B35" s="8" t="s">
        <v>94</v>
      </c>
      <c r="C35" s="8" t="s">
        <v>95</v>
      </c>
      <c r="D35" s="8" t="s">
        <v>96</v>
      </c>
      <c r="E35" s="8" t="s">
        <v>70</v>
      </c>
      <c r="F35" s="8">
        <v>1</v>
      </c>
      <c r="G35" s="44">
        <f>'ANÁLISE DOS PREÇOS COLETADOS'!AD53</f>
        <v>38.5</v>
      </c>
      <c r="H35" s="44">
        <f t="shared" si="3"/>
        <v>38.5</v>
      </c>
    </row>
    <row r="36" spans="2:8" ht="31.5" x14ac:dyDescent="0.25">
      <c r="B36" s="8" t="s">
        <v>97</v>
      </c>
      <c r="C36" s="8" t="s">
        <v>98</v>
      </c>
      <c r="D36" s="8" t="s">
        <v>99</v>
      </c>
      <c r="E36" s="8" t="s">
        <v>7</v>
      </c>
      <c r="F36" s="8">
        <v>1</v>
      </c>
      <c r="G36" s="44">
        <f>'ANÁLISE DOS PREÇOS COLETADOS'!AD54</f>
        <v>7.5</v>
      </c>
      <c r="H36" s="44">
        <f t="shared" si="3"/>
        <v>7.5</v>
      </c>
    </row>
    <row r="37" spans="2:8" ht="31.5" x14ac:dyDescent="0.25">
      <c r="B37" s="8" t="s">
        <v>100</v>
      </c>
      <c r="C37" s="8" t="s">
        <v>101</v>
      </c>
      <c r="D37" s="8" t="s">
        <v>102</v>
      </c>
      <c r="E37" s="8" t="s">
        <v>70</v>
      </c>
      <c r="F37" s="8">
        <v>2</v>
      </c>
      <c r="G37" s="44">
        <f>'ANÁLISE DOS PREÇOS COLETADOS'!AD55</f>
        <v>10</v>
      </c>
      <c r="H37" s="44">
        <f t="shared" si="3"/>
        <v>20</v>
      </c>
    </row>
    <row r="38" spans="2:8" ht="47.25" x14ac:dyDescent="0.25">
      <c r="B38" s="8" t="s">
        <v>103</v>
      </c>
      <c r="C38" s="8" t="s">
        <v>104</v>
      </c>
      <c r="D38" s="8" t="s">
        <v>428</v>
      </c>
      <c r="E38" s="8" t="s">
        <v>70</v>
      </c>
      <c r="F38" s="8">
        <v>1</v>
      </c>
      <c r="G38" s="44">
        <f>'ANÁLISE DOS PREÇOS COLETADOS'!AD56</f>
        <v>925</v>
      </c>
      <c r="H38" s="44">
        <f t="shared" si="3"/>
        <v>925</v>
      </c>
    </row>
    <row r="39" spans="2:8" ht="63" x14ac:dyDescent="0.25">
      <c r="B39" s="8" t="s">
        <v>106</v>
      </c>
      <c r="C39" s="8" t="s">
        <v>107</v>
      </c>
      <c r="D39" s="8" t="s">
        <v>108</v>
      </c>
      <c r="E39" s="8" t="s">
        <v>70</v>
      </c>
      <c r="F39" s="8">
        <v>1</v>
      </c>
      <c r="G39" s="44">
        <f>'ANÁLISE DOS PREÇOS COLETADOS'!AD58</f>
        <v>73.334049999999991</v>
      </c>
      <c r="H39" s="44">
        <f t="shared" si="3"/>
        <v>73.334049999999991</v>
      </c>
    </row>
    <row r="40" spans="2:8" ht="94.5" x14ac:dyDescent="0.25">
      <c r="B40" s="8" t="s">
        <v>109</v>
      </c>
      <c r="C40" s="8" t="s">
        <v>110</v>
      </c>
      <c r="D40" s="8" t="s">
        <v>111</v>
      </c>
      <c r="E40" s="8" t="s">
        <v>112</v>
      </c>
      <c r="F40" s="8">
        <v>1</v>
      </c>
      <c r="G40" s="44">
        <f>'ANÁLISE DOS PREÇOS COLETADOS'!AD59</f>
        <v>500</v>
      </c>
      <c r="H40" s="44">
        <f t="shared" si="3"/>
        <v>500</v>
      </c>
    </row>
    <row r="41" spans="2:8" ht="15.75" x14ac:dyDescent="0.25">
      <c r="B41" s="8" t="s">
        <v>113</v>
      </c>
      <c r="C41" s="8" t="s">
        <v>118</v>
      </c>
      <c r="D41" s="8" t="s">
        <v>119</v>
      </c>
      <c r="E41" s="8" t="s">
        <v>70</v>
      </c>
      <c r="F41" s="8">
        <v>2</v>
      </c>
      <c r="G41" s="44">
        <f>'ANÁLISE DOS PREÇOS COLETADOS'!AD60</f>
        <v>105</v>
      </c>
      <c r="H41" s="44">
        <f t="shared" si="3"/>
        <v>210</v>
      </c>
    </row>
    <row r="42" spans="2:8" ht="15.75" x14ac:dyDescent="0.25">
      <c r="B42" s="8" t="s">
        <v>117</v>
      </c>
      <c r="C42" s="8" t="s">
        <v>121</v>
      </c>
      <c r="D42" s="8" t="s">
        <v>431</v>
      </c>
      <c r="E42" s="8" t="s">
        <v>70</v>
      </c>
      <c r="F42" s="8">
        <v>4</v>
      </c>
      <c r="G42" s="44">
        <f>'ANÁLISE DOS PREÇOS COLETADOS'!AD61</f>
        <v>26.666666666666668</v>
      </c>
      <c r="H42" s="44">
        <f t="shared" si="3"/>
        <v>106.66666666666667</v>
      </c>
    </row>
    <row r="43" spans="2:8" ht="15.75" x14ac:dyDescent="0.25">
      <c r="B43" s="8" t="s">
        <v>120</v>
      </c>
      <c r="C43" s="8" t="s">
        <v>121</v>
      </c>
      <c r="D43" s="8" t="s">
        <v>122</v>
      </c>
      <c r="E43" s="8" t="s">
        <v>70</v>
      </c>
      <c r="F43" s="8">
        <v>4</v>
      </c>
      <c r="G43" s="44">
        <f>'ANÁLISE DOS PREÇOS COLETADOS'!AD62</f>
        <v>28</v>
      </c>
      <c r="H43" s="44">
        <f t="shared" si="3"/>
        <v>112</v>
      </c>
    </row>
    <row r="44" spans="2:8" ht="15.75" x14ac:dyDescent="0.25">
      <c r="B44" s="8" t="s">
        <v>123</v>
      </c>
      <c r="C44" s="8" t="s">
        <v>121</v>
      </c>
      <c r="D44" s="8" t="s">
        <v>690</v>
      </c>
      <c r="E44" s="8" t="s">
        <v>70</v>
      </c>
      <c r="F44" s="8">
        <v>6</v>
      </c>
      <c r="G44" s="44">
        <f>'ANÁLISE DOS PREÇOS COLETADOS'!AD63</f>
        <v>22</v>
      </c>
      <c r="H44" s="44">
        <f t="shared" si="3"/>
        <v>132</v>
      </c>
    </row>
    <row r="45" spans="2:8" ht="15.75" x14ac:dyDescent="0.25">
      <c r="B45" s="8" t="s">
        <v>126</v>
      </c>
      <c r="C45" s="8" t="s">
        <v>121</v>
      </c>
      <c r="D45" s="8" t="s">
        <v>125</v>
      </c>
      <c r="E45" s="8" t="s">
        <v>70</v>
      </c>
      <c r="F45" s="8">
        <v>8</v>
      </c>
      <c r="G45" s="44">
        <f>'ANÁLISE DOS PREÇOS COLETADOS'!AD64</f>
        <v>21.5</v>
      </c>
      <c r="H45" s="44">
        <f t="shared" si="3"/>
        <v>172</v>
      </c>
    </row>
    <row r="46" spans="2:8" ht="63" x14ac:dyDescent="0.25">
      <c r="B46" s="8" t="s">
        <v>129</v>
      </c>
      <c r="C46" s="8" t="s">
        <v>432</v>
      </c>
      <c r="D46" s="8" t="s">
        <v>640</v>
      </c>
      <c r="E46" s="8" t="s">
        <v>633</v>
      </c>
      <c r="F46" s="8">
        <v>24</v>
      </c>
      <c r="G46" s="44">
        <f>'ANÁLISE DOS PREÇOS COLETADOS'!AD65</f>
        <v>145.36000000000001</v>
      </c>
      <c r="H46" s="44">
        <f t="shared" si="3"/>
        <v>3488.6400000000003</v>
      </c>
    </row>
    <row r="47" spans="2:8" ht="47.25" x14ac:dyDescent="0.25">
      <c r="B47" s="8" t="s">
        <v>132</v>
      </c>
      <c r="C47" s="8" t="s">
        <v>127</v>
      </c>
      <c r="D47" s="8" t="s">
        <v>128</v>
      </c>
      <c r="E47" s="8" t="s">
        <v>112</v>
      </c>
      <c r="F47" s="8">
        <v>2</v>
      </c>
      <c r="G47" s="44">
        <f>'ANÁLISE DOS PREÇOS COLETADOS'!AD66</f>
        <v>30</v>
      </c>
      <c r="H47" s="44">
        <f t="shared" si="3"/>
        <v>60</v>
      </c>
    </row>
    <row r="48" spans="2:8" ht="63" x14ac:dyDescent="0.25">
      <c r="B48" s="8" t="s">
        <v>135</v>
      </c>
      <c r="C48" s="8" t="s">
        <v>133</v>
      </c>
      <c r="D48" s="8" t="s">
        <v>436</v>
      </c>
      <c r="E48" s="8" t="s">
        <v>70</v>
      </c>
      <c r="F48" s="8">
        <v>4</v>
      </c>
      <c r="G48" s="44">
        <f>'ANÁLISE DOS PREÇOS COLETADOS'!AD68</f>
        <v>5</v>
      </c>
      <c r="H48" s="44">
        <f t="shared" si="3"/>
        <v>20</v>
      </c>
    </row>
    <row r="49" spans="2:8" ht="31.5" x14ac:dyDescent="0.25">
      <c r="B49" s="8" t="s">
        <v>138</v>
      </c>
      <c r="C49" s="8" t="s">
        <v>136</v>
      </c>
      <c r="D49" s="8" t="s">
        <v>137</v>
      </c>
      <c r="E49" s="8" t="s">
        <v>70</v>
      </c>
      <c r="F49" s="8">
        <v>1</v>
      </c>
      <c r="G49" s="44">
        <f>'ANÁLISE DOS PREÇOS COLETADOS'!AD69</f>
        <v>55</v>
      </c>
      <c r="H49" s="44">
        <f t="shared" si="3"/>
        <v>55</v>
      </c>
    </row>
    <row r="50" spans="2:8" ht="31.5" x14ac:dyDescent="0.25">
      <c r="B50" s="8" t="s">
        <v>141</v>
      </c>
      <c r="C50" s="8" t="s">
        <v>139</v>
      </c>
      <c r="D50" s="8" t="s">
        <v>140</v>
      </c>
      <c r="E50" s="8" t="s">
        <v>70</v>
      </c>
      <c r="F50" s="8">
        <v>1</v>
      </c>
      <c r="G50" s="44">
        <f>'ANÁLISE DOS PREÇOS COLETADOS'!AD70</f>
        <v>115</v>
      </c>
      <c r="H50" s="44">
        <f t="shared" si="3"/>
        <v>115</v>
      </c>
    </row>
    <row r="51" spans="2:8" ht="31.5" x14ac:dyDescent="0.25">
      <c r="B51" s="8" t="s">
        <v>143</v>
      </c>
      <c r="C51" s="8" t="s">
        <v>139</v>
      </c>
      <c r="D51" s="8" t="s">
        <v>142</v>
      </c>
      <c r="E51" s="8" t="s">
        <v>70</v>
      </c>
      <c r="F51" s="8">
        <v>1</v>
      </c>
      <c r="G51" s="44">
        <f>'ANÁLISE DOS PREÇOS COLETADOS'!AD71</f>
        <v>113.33333333333333</v>
      </c>
      <c r="H51" s="44">
        <f t="shared" si="3"/>
        <v>113.33333333333333</v>
      </c>
    </row>
    <row r="52" spans="2:8" ht="31.5" x14ac:dyDescent="0.25">
      <c r="B52" s="8" t="s">
        <v>145</v>
      </c>
      <c r="C52" s="8" t="s">
        <v>139</v>
      </c>
      <c r="D52" s="8" t="s">
        <v>144</v>
      </c>
      <c r="E52" s="8" t="s">
        <v>70</v>
      </c>
      <c r="F52" s="8">
        <v>1</v>
      </c>
      <c r="G52" s="44">
        <f>'ANÁLISE DOS PREÇOS COLETADOS'!AD72</f>
        <v>150</v>
      </c>
      <c r="H52" s="44">
        <f t="shared" si="3"/>
        <v>150</v>
      </c>
    </row>
    <row r="53" spans="2:8" ht="15.75" x14ac:dyDescent="0.25">
      <c r="B53" s="8" t="s">
        <v>148</v>
      </c>
      <c r="C53" s="8" t="s">
        <v>146</v>
      </c>
      <c r="D53" s="8" t="s">
        <v>147</v>
      </c>
      <c r="E53" s="8" t="s">
        <v>70</v>
      </c>
      <c r="F53" s="8">
        <v>1</v>
      </c>
      <c r="G53" s="44">
        <f>'ANÁLISE DOS PREÇOS COLETADOS'!AD73</f>
        <v>10</v>
      </c>
      <c r="H53" s="44">
        <f t="shared" si="3"/>
        <v>10</v>
      </c>
    </row>
    <row r="54" spans="2:8" ht="94.5" x14ac:dyDescent="0.25">
      <c r="B54" s="8" t="s">
        <v>151</v>
      </c>
      <c r="C54" s="8" t="s">
        <v>149</v>
      </c>
      <c r="D54" s="8" t="s">
        <v>150</v>
      </c>
      <c r="E54" s="8" t="s">
        <v>70</v>
      </c>
      <c r="F54" s="8">
        <v>1</v>
      </c>
      <c r="G54" s="44">
        <f>'ANÁLISE DOS PREÇOS COLETADOS'!AD74</f>
        <v>5</v>
      </c>
      <c r="H54" s="44">
        <f t="shared" si="3"/>
        <v>5</v>
      </c>
    </row>
    <row r="55" spans="2:8" ht="78.75" x14ac:dyDescent="0.25">
      <c r="B55" s="8" t="s">
        <v>155</v>
      </c>
      <c r="C55" s="8" t="s">
        <v>152</v>
      </c>
      <c r="D55" s="8" t="s">
        <v>709</v>
      </c>
      <c r="E55" s="8" t="s">
        <v>154</v>
      </c>
      <c r="F55" s="8">
        <v>1</v>
      </c>
      <c r="G55" s="44">
        <f>'ANÁLISE DOS PREÇOS COLETADOS'!AD75</f>
        <v>90</v>
      </c>
      <c r="H55" s="44">
        <f t="shared" si="3"/>
        <v>90</v>
      </c>
    </row>
    <row r="56" spans="2:8" ht="78.75" x14ac:dyDescent="0.25">
      <c r="B56" s="8" t="s">
        <v>158</v>
      </c>
      <c r="C56" s="8" t="s">
        <v>156</v>
      </c>
      <c r="D56" s="8" t="s">
        <v>710</v>
      </c>
      <c r="E56" s="8" t="s">
        <v>154</v>
      </c>
      <c r="F56" s="8">
        <v>1</v>
      </c>
      <c r="G56" s="44">
        <f>'ANÁLISE DOS PREÇOS COLETADOS'!AD76</f>
        <v>97.5</v>
      </c>
      <c r="H56" s="44">
        <f t="shared" si="3"/>
        <v>97.5</v>
      </c>
    </row>
    <row r="57" spans="2:8" ht="94.5" x14ac:dyDescent="0.25">
      <c r="B57" s="122" t="s">
        <v>161</v>
      </c>
      <c r="C57" s="122" t="s">
        <v>162</v>
      </c>
      <c r="D57" s="8" t="s">
        <v>163</v>
      </c>
      <c r="E57" s="122" t="s">
        <v>475</v>
      </c>
      <c r="F57" s="122">
        <v>1</v>
      </c>
      <c r="G57" s="85">
        <f>'ANÁLISE DOS PREÇOS COLETADOS'!AD78</f>
        <v>2300</v>
      </c>
      <c r="H57" s="85">
        <f>G57*F57</f>
        <v>2300</v>
      </c>
    </row>
    <row r="58" spans="2:8" ht="15.75" x14ac:dyDescent="0.25">
      <c r="B58" s="122"/>
      <c r="C58" s="122"/>
      <c r="D58" s="8" t="s">
        <v>164</v>
      </c>
      <c r="E58" s="122"/>
      <c r="F58" s="122"/>
      <c r="G58" s="86"/>
      <c r="H58" s="86"/>
    </row>
    <row r="59" spans="2:8" ht="31.5" x14ac:dyDescent="0.25">
      <c r="B59" s="122"/>
      <c r="C59" s="122"/>
      <c r="D59" s="8" t="s">
        <v>165</v>
      </c>
      <c r="E59" s="122"/>
      <c r="F59" s="122"/>
      <c r="G59" s="87"/>
      <c r="H59" s="87"/>
    </row>
    <row r="60" spans="2:8" ht="47.25" x14ac:dyDescent="0.25">
      <c r="B60" s="8" t="s">
        <v>166</v>
      </c>
      <c r="C60" s="8" t="s">
        <v>167</v>
      </c>
      <c r="D60" s="8" t="s">
        <v>168</v>
      </c>
      <c r="E60" s="8" t="s">
        <v>154</v>
      </c>
      <c r="F60" s="8">
        <v>1</v>
      </c>
      <c r="G60" s="44">
        <f>'ANÁLISE DOS PREÇOS COLETADOS'!AD81</f>
        <v>64.52</v>
      </c>
      <c r="H60" s="44">
        <f>G60*F60</f>
        <v>64.52</v>
      </c>
    </row>
    <row r="61" spans="2:8" ht="31.5" x14ac:dyDescent="0.25">
      <c r="B61" s="8" t="s">
        <v>169</v>
      </c>
      <c r="C61" s="8" t="s">
        <v>711</v>
      </c>
      <c r="D61" s="8" t="s">
        <v>711</v>
      </c>
      <c r="E61" s="8" t="s">
        <v>12</v>
      </c>
      <c r="F61" s="8">
        <v>1</v>
      </c>
      <c r="G61" s="44">
        <f>'ANÁLISE DOS PREÇOS COLETADOS'!AD83</f>
        <v>740</v>
      </c>
      <c r="H61" s="44">
        <f t="shared" ref="H61:H81" si="4">G61*F61</f>
        <v>740</v>
      </c>
    </row>
    <row r="62" spans="2:8" ht="31.5" x14ac:dyDescent="0.25">
      <c r="B62" s="8" t="s">
        <v>172</v>
      </c>
      <c r="C62" s="8" t="s">
        <v>170</v>
      </c>
      <c r="D62" s="8" t="s">
        <v>171</v>
      </c>
      <c r="E62" s="8" t="s">
        <v>12</v>
      </c>
      <c r="F62" s="8">
        <v>1</v>
      </c>
      <c r="G62" s="44">
        <f>'ANÁLISE DOS PREÇOS COLETADOS'!AD82</f>
        <v>6</v>
      </c>
      <c r="H62" s="44">
        <f t="shared" si="4"/>
        <v>6</v>
      </c>
    </row>
    <row r="63" spans="2:8" ht="31.5" x14ac:dyDescent="0.25">
      <c r="B63" s="8" t="s">
        <v>175</v>
      </c>
      <c r="C63" s="8" t="s">
        <v>173</v>
      </c>
      <c r="D63" s="8" t="s">
        <v>174</v>
      </c>
      <c r="E63" s="8" t="s">
        <v>12</v>
      </c>
      <c r="F63" s="8">
        <v>1</v>
      </c>
      <c r="G63" s="44">
        <f>'ANÁLISE DOS PREÇOS COLETADOS'!AD84</f>
        <v>35</v>
      </c>
      <c r="H63" s="44">
        <f t="shared" si="4"/>
        <v>35</v>
      </c>
    </row>
    <row r="64" spans="2:8" ht="31.5" x14ac:dyDescent="0.25">
      <c r="B64" s="8" t="s">
        <v>178</v>
      </c>
      <c r="C64" s="8" t="s">
        <v>712</v>
      </c>
      <c r="D64" s="8" t="s">
        <v>713</v>
      </c>
      <c r="E64" s="8" t="s">
        <v>12</v>
      </c>
      <c r="F64" s="8">
        <v>1</v>
      </c>
      <c r="G64" s="44">
        <f>'ANÁLISE DOS PREÇOS COLETADOS'!AD86</f>
        <v>3</v>
      </c>
      <c r="H64" s="44">
        <f t="shared" si="4"/>
        <v>3</v>
      </c>
    </row>
    <row r="65" spans="2:8" ht="110.25" x14ac:dyDescent="0.25">
      <c r="B65" s="8" t="s">
        <v>182</v>
      </c>
      <c r="C65" s="8" t="s">
        <v>179</v>
      </c>
      <c r="D65" s="8" t="s">
        <v>803</v>
      </c>
      <c r="E65" s="8" t="s">
        <v>804</v>
      </c>
      <c r="F65" s="8">
        <v>1</v>
      </c>
      <c r="G65" s="44">
        <f>'ANÁLISE DOS PREÇOS COLETADOS'!AD87</f>
        <v>106.66666666666667</v>
      </c>
      <c r="H65" s="44">
        <f t="shared" si="4"/>
        <v>106.66666666666667</v>
      </c>
    </row>
    <row r="66" spans="2:8" ht="78.75" x14ac:dyDescent="0.25">
      <c r="B66" s="8" t="s">
        <v>186</v>
      </c>
      <c r="C66" s="8" t="s">
        <v>443</v>
      </c>
      <c r="D66" s="8" t="s">
        <v>188</v>
      </c>
      <c r="E66" s="8" t="s">
        <v>7</v>
      </c>
      <c r="F66" s="8">
        <v>1</v>
      </c>
      <c r="G66" s="44">
        <f>'ANÁLISE DOS PREÇOS COLETADOS'!AD90</f>
        <v>448.48750000000001</v>
      </c>
      <c r="H66" s="44">
        <f t="shared" si="4"/>
        <v>448.48750000000001</v>
      </c>
    </row>
    <row r="67" spans="2:8" ht="78.75" x14ac:dyDescent="0.25">
      <c r="B67" s="8" t="s">
        <v>189</v>
      </c>
      <c r="C67" s="8" t="s">
        <v>714</v>
      </c>
      <c r="D67" s="8" t="s">
        <v>191</v>
      </c>
      <c r="E67" s="8" t="s">
        <v>7</v>
      </c>
      <c r="F67" s="8">
        <v>2</v>
      </c>
      <c r="G67" s="44">
        <f>'ANÁLISE DOS PREÇOS COLETADOS'!AD91</f>
        <v>200</v>
      </c>
      <c r="H67" s="44">
        <f t="shared" si="4"/>
        <v>400</v>
      </c>
    </row>
    <row r="68" spans="2:8" ht="78.75" x14ac:dyDescent="0.25">
      <c r="B68" s="8" t="s">
        <v>192</v>
      </c>
      <c r="C68" s="8" t="s">
        <v>715</v>
      </c>
      <c r="D68" s="8" t="s">
        <v>194</v>
      </c>
      <c r="E68" s="8" t="s">
        <v>7</v>
      </c>
      <c r="F68" s="8">
        <v>1</v>
      </c>
      <c r="G68" s="44">
        <f>'ANÁLISE DOS PREÇOS COLETADOS'!AD92</f>
        <v>1255</v>
      </c>
      <c r="H68" s="44">
        <f t="shared" si="4"/>
        <v>1255</v>
      </c>
    </row>
    <row r="69" spans="2:8" ht="15.75" x14ac:dyDescent="0.25">
      <c r="B69" s="8" t="s">
        <v>195</v>
      </c>
      <c r="C69" s="8" t="s">
        <v>198</v>
      </c>
      <c r="D69" s="8" t="s">
        <v>199</v>
      </c>
      <c r="E69" s="8" t="s">
        <v>70</v>
      </c>
      <c r="F69" s="8">
        <v>1</v>
      </c>
      <c r="G69" s="44">
        <f>'ANÁLISE DOS PREÇOS COLETADOS'!AD94</f>
        <v>8</v>
      </c>
      <c r="H69" s="44">
        <f t="shared" si="4"/>
        <v>8</v>
      </c>
    </row>
    <row r="70" spans="2:8" ht="15.75" x14ac:dyDescent="0.25">
      <c r="B70" s="8" t="s">
        <v>197</v>
      </c>
      <c r="C70" s="8" t="s">
        <v>198</v>
      </c>
      <c r="D70" s="8" t="s">
        <v>202</v>
      </c>
      <c r="E70" s="8" t="s">
        <v>70</v>
      </c>
      <c r="F70" s="8">
        <v>1</v>
      </c>
      <c r="G70" s="44">
        <f>'ANÁLISE DOS PREÇOS COLETADOS'!AD95</f>
        <v>15</v>
      </c>
      <c r="H70" s="44">
        <f t="shared" si="4"/>
        <v>15</v>
      </c>
    </row>
    <row r="71" spans="2:8" ht="31.5" x14ac:dyDescent="0.25">
      <c r="B71" s="8" t="s">
        <v>200</v>
      </c>
      <c r="C71" s="8" t="s">
        <v>644</v>
      </c>
      <c r="D71" s="8" t="s">
        <v>645</v>
      </c>
      <c r="E71" s="8" t="s">
        <v>70</v>
      </c>
      <c r="F71" s="8">
        <v>1</v>
      </c>
      <c r="G71" s="44">
        <f>'ANÁLISE DOS PREÇOS COLETADOS'!AD96</f>
        <v>73.333333333333329</v>
      </c>
      <c r="H71" s="44">
        <f t="shared" si="4"/>
        <v>73.333333333333329</v>
      </c>
    </row>
    <row r="72" spans="2:8" ht="31.5" x14ac:dyDescent="0.25">
      <c r="B72" s="8" t="s">
        <v>203</v>
      </c>
      <c r="C72" s="8" t="s">
        <v>204</v>
      </c>
      <c r="D72" s="8" t="s">
        <v>646</v>
      </c>
      <c r="E72" s="8" t="s">
        <v>70</v>
      </c>
      <c r="F72" s="8">
        <v>1</v>
      </c>
      <c r="G72" s="44">
        <f>'ANÁLISE DOS PREÇOS COLETADOS'!AD97</f>
        <v>80</v>
      </c>
      <c r="H72" s="44">
        <f t="shared" si="4"/>
        <v>80</v>
      </c>
    </row>
    <row r="73" spans="2:8" ht="31.5" x14ac:dyDescent="0.25">
      <c r="B73" s="8" t="s">
        <v>206</v>
      </c>
      <c r="C73" s="8" t="s">
        <v>445</v>
      </c>
      <c r="D73" s="8" t="s">
        <v>697</v>
      </c>
      <c r="E73" s="8" t="s">
        <v>70</v>
      </c>
      <c r="F73" s="8">
        <v>1</v>
      </c>
      <c r="G73" s="44">
        <f>'ANÁLISE DOS PREÇOS COLETADOS'!AD100</f>
        <v>50</v>
      </c>
      <c r="H73" s="44">
        <f t="shared" si="4"/>
        <v>50</v>
      </c>
    </row>
    <row r="74" spans="2:8" ht="31.5" x14ac:dyDescent="0.25">
      <c r="B74" s="8" t="s">
        <v>208</v>
      </c>
      <c r="C74" s="8" t="s">
        <v>204</v>
      </c>
      <c r="D74" s="8" t="s">
        <v>716</v>
      </c>
      <c r="E74" s="8" t="s">
        <v>70</v>
      </c>
      <c r="F74" s="8">
        <v>1</v>
      </c>
      <c r="G74" s="44">
        <f>'ANÁLISE DOS PREÇOS COLETADOS'!AD99</f>
        <v>80</v>
      </c>
      <c r="H74" s="44">
        <f t="shared" si="4"/>
        <v>80</v>
      </c>
    </row>
    <row r="75" spans="2:8" ht="31.5" x14ac:dyDescent="0.25">
      <c r="B75" s="8" t="s">
        <v>210</v>
      </c>
      <c r="C75" s="8" t="s">
        <v>204</v>
      </c>
      <c r="D75" s="8" t="s">
        <v>717</v>
      </c>
      <c r="E75" s="8" t="s">
        <v>70</v>
      </c>
      <c r="F75" s="8">
        <v>1</v>
      </c>
      <c r="G75" s="44">
        <f>'ANÁLISE DOS PREÇOS COLETADOS'!AD101</f>
        <v>66</v>
      </c>
      <c r="H75" s="44">
        <f t="shared" si="4"/>
        <v>66</v>
      </c>
    </row>
    <row r="76" spans="2:8" ht="31.5" x14ac:dyDescent="0.25">
      <c r="B76" s="8" t="s">
        <v>212</v>
      </c>
      <c r="C76" s="8" t="s">
        <v>445</v>
      </c>
      <c r="D76" s="8" t="s">
        <v>718</v>
      </c>
      <c r="E76" s="8" t="s">
        <v>70</v>
      </c>
      <c r="F76" s="8">
        <v>1</v>
      </c>
      <c r="G76" s="44">
        <f>'ANÁLISE DOS PREÇOS COLETADOS'!AD102</f>
        <v>71.5</v>
      </c>
      <c r="H76" s="44">
        <f t="shared" si="4"/>
        <v>71.5</v>
      </c>
    </row>
    <row r="77" spans="2:8" ht="31.5" x14ac:dyDescent="0.25">
      <c r="B77" s="8" t="s">
        <v>214</v>
      </c>
      <c r="C77" s="8" t="s">
        <v>114</v>
      </c>
      <c r="D77" s="8" t="s">
        <v>637</v>
      </c>
      <c r="E77" s="8" t="s">
        <v>116</v>
      </c>
      <c r="F77" s="8">
        <v>1</v>
      </c>
      <c r="G77" s="44">
        <f>'ANÁLISE DOS PREÇOS COLETADOS'!AD103</f>
        <v>500</v>
      </c>
      <c r="H77" s="44">
        <f t="shared" si="4"/>
        <v>500</v>
      </c>
    </row>
    <row r="78" spans="2:8" ht="40.5" customHeight="1" x14ac:dyDescent="0.25">
      <c r="B78" s="8" t="s">
        <v>215</v>
      </c>
      <c r="C78" s="8" t="s">
        <v>216</v>
      </c>
      <c r="D78" s="8" t="s">
        <v>217</v>
      </c>
      <c r="E78" s="8" t="s">
        <v>70</v>
      </c>
      <c r="F78" s="8">
        <v>2</v>
      </c>
      <c r="G78" s="44">
        <f>'ANÁLISE DOS PREÇOS COLETADOS'!AD104</f>
        <v>50</v>
      </c>
      <c r="H78" s="44">
        <f t="shared" si="4"/>
        <v>100</v>
      </c>
    </row>
    <row r="79" spans="2:8" ht="44.25" customHeight="1" x14ac:dyDescent="0.25">
      <c r="B79" s="8" t="s">
        <v>218</v>
      </c>
      <c r="C79" s="8" t="s">
        <v>219</v>
      </c>
      <c r="D79" s="8" t="s">
        <v>220</v>
      </c>
      <c r="E79" s="8" t="s">
        <v>70</v>
      </c>
      <c r="F79" s="8">
        <v>2</v>
      </c>
      <c r="G79" s="44">
        <f>'ANÁLISE DOS PREÇOS COLETADOS'!AD105</f>
        <v>100</v>
      </c>
      <c r="H79" s="44">
        <f t="shared" si="4"/>
        <v>200</v>
      </c>
    </row>
    <row r="80" spans="2:8" ht="15.75" x14ac:dyDescent="0.25">
      <c r="B80" s="8" t="s">
        <v>221</v>
      </c>
      <c r="C80" s="8" t="s">
        <v>222</v>
      </c>
      <c r="D80" s="8" t="s">
        <v>223</v>
      </c>
      <c r="E80" s="8" t="s">
        <v>224</v>
      </c>
      <c r="F80" s="8">
        <v>1</v>
      </c>
      <c r="G80" s="44">
        <f>'ANÁLISE DOS PREÇOS COLETADOS'!AD106</f>
        <v>200</v>
      </c>
      <c r="H80" s="44">
        <f t="shared" si="4"/>
        <v>200</v>
      </c>
    </row>
    <row r="81" spans="2:8" ht="31.5" x14ac:dyDescent="0.25">
      <c r="B81" s="8" t="s">
        <v>225</v>
      </c>
      <c r="C81" s="8" t="s">
        <v>226</v>
      </c>
      <c r="D81" s="8" t="s">
        <v>227</v>
      </c>
      <c r="E81" s="8" t="s">
        <v>70</v>
      </c>
      <c r="F81" s="8">
        <v>3</v>
      </c>
      <c r="G81" s="44">
        <f>'ANÁLISE DOS PREÇOS COLETADOS'!AD107</f>
        <v>5</v>
      </c>
      <c r="H81" s="44">
        <f t="shared" si="4"/>
        <v>15</v>
      </c>
    </row>
    <row r="82" spans="2:8" ht="15.75" x14ac:dyDescent="0.25">
      <c r="B82" s="84" t="s">
        <v>401</v>
      </c>
      <c r="C82" s="84"/>
      <c r="D82" s="84"/>
      <c r="E82" s="84"/>
      <c r="F82" s="84"/>
      <c r="G82" s="118">
        <f>SUM(H26:H81)</f>
        <v>14224.04405</v>
      </c>
      <c r="H82" s="78"/>
    </row>
    <row r="83" spans="2:8" ht="15.75" customHeight="1" x14ac:dyDescent="0.25">
      <c r="B83" s="84" t="s">
        <v>228</v>
      </c>
      <c r="C83" s="84"/>
      <c r="D83" s="84"/>
      <c r="E83" s="84"/>
      <c r="F83" s="84"/>
      <c r="G83" s="84"/>
      <c r="H83" s="84"/>
    </row>
    <row r="84" spans="2:8" ht="45" x14ac:dyDescent="0.25">
      <c r="B84" s="11" t="s">
        <v>1</v>
      </c>
      <c r="C84" s="11" t="s">
        <v>2</v>
      </c>
      <c r="D84" s="11" t="s">
        <v>3</v>
      </c>
      <c r="E84" s="11" t="s">
        <v>396</v>
      </c>
      <c r="F84" s="11" t="s">
        <v>4</v>
      </c>
      <c r="G84" s="47" t="s">
        <v>759</v>
      </c>
      <c r="H84" s="47" t="s">
        <v>767</v>
      </c>
    </row>
    <row r="85" spans="2:8" ht="47.25" x14ac:dyDescent="0.25">
      <c r="B85" s="8" t="s">
        <v>229</v>
      </c>
      <c r="C85" s="8" t="s">
        <v>450</v>
      </c>
      <c r="D85" s="8" t="s">
        <v>451</v>
      </c>
      <c r="E85" s="8" t="s">
        <v>244</v>
      </c>
      <c r="F85" s="8">
        <v>2</v>
      </c>
      <c r="G85" s="44">
        <f>'ANÁLISE DOS PREÇOS COLETADOS'!AD110</f>
        <v>85</v>
      </c>
      <c r="H85" s="44">
        <f>G85*F85</f>
        <v>170</v>
      </c>
    </row>
    <row r="86" spans="2:8" ht="63" x14ac:dyDescent="0.25">
      <c r="B86" s="8" t="s">
        <v>233</v>
      </c>
      <c r="C86" s="8" t="s">
        <v>230</v>
      </c>
      <c r="D86" s="8" t="s">
        <v>231</v>
      </c>
      <c r="E86" s="8" t="s">
        <v>232</v>
      </c>
      <c r="F86" s="8">
        <v>3</v>
      </c>
      <c r="G86" s="44">
        <f>'ANÁLISE DOS PREÇOS COLETADOS'!AD111</f>
        <v>170.83333333333334</v>
      </c>
      <c r="H86" s="44">
        <f>G86*F86</f>
        <v>512.5</v>
      </c>
    </row>
    <row r="87" spans="2:8" ht="63" x14ac:dyDescent="0.25">
      <c r="B87" s="122" t="s">
        <v>245</v>
      </c>
      <c r="C87" s="122" t="s">
        <v>234</v>
      </c>
      <c r="D87" s="8" t="s">
        <v>235</v>
      </c>
      <c r="E87" s="122" t="s">
        <v>244</v>
      </c>
      <c r="F87" s="122">
        <v>1</v>
      </c>
      <c r="G87" s="90">
        <f>'ANÁLISE DOS PREÇOS COLETADOS'!AD112</f>
        <v>133.33333333333334</v>
      </c>
      <c r="H87" s="90">
        <f>G87*F87</f>
        <v>133.33333333333334</v>
      </c>
    </row>
    <row r="88" spans="2:8" ht="31.5" x14ac:dyDescent="0.25">
      <c r="B88" s="122"/>
      <c r="C88" s="122"/>
      <c r="D88" s="8" t="s">
        <v>236</v>
      </c>
      <c r="E88" s="122"/>
      <c r="F88" s="122"/>
      <c r="G88" s="91"/>
      <c r="H88" s="91"/>
    </row>
    <row r="89" spans="2:8" ht="31.5" x14ac:dyDescent="0.25">
      <c r="B89" s="122"/>
      <c r="C89" s="122"/>
      <c r="D89" s="8" t="s">
        <v>237</v>
      </c>
      <c r="E89" s="122"/>
      <c r="F89" s="122"/>
      <c r="G89" s="91"/>
      <c r="H89" s="91"/>
    </row>
    <row r="90" spans="2:8" ht="31.5" x14ac:dyDescent="0.25">
      <c r="B90" s="122"/>
      <c r="C90" s="122"/>
      <c r="D90" s="8" t="s">
        <v>238</v>
      </c>
      <c r="E90" s="122"/>
      <c r="F90" s="122"/>
      <c r="G90" s="91"/>
      <c r="H90" s="91"/>
    </row>
    <row r="91" spans="2:8" ht="48.75" customHeight="1" x14ac:dyDescent="0.25">
      <c r="B91" s="122"/>
      <c r="C91" s="122"/>
      <c r="D91" s="8" t="s">
        <v>239</v>
      </c>
      <c r="E91" s="122"/>
      <c r="F91" s="122"/>
      <c r="G91" s="91"/>
      <c r="H91" s="91"/>
    </row>
    <row r="92" spans="2:8" ht="73.5" customHeight="1" x14ac:dyDescent="0.25">
      <c r="B92" s="122"/>
      <c r="C92" s="122"/>
      <c r="D92" s="8" t="s">
        <v>240</v>
      </c>
      <c r="E92" s="122"/>
      <c r="F92" s="122"/>
      <c r="G92" s="91"/>
      <c r="H92" s="91"/>
    </row>
    <row r="93" spans="2:8" ht="15.75" x14ac:dyDescent="0.25">
      <c r="B93" s="122"/>
      <c r="C93" s="122"/>
      <c r="D93" s="8" t="s">
        <v>241</v>
      </c>
      <c r="E93" s="122"/>
      <c r="F93" s="122"/>
      <c r="G93" s="91"/>
      <c r="H93" s="91"/>
    </row>
    <row r="94" spans="2:8" ht="58.5" customHeight="1" x14ac:dyDescent="0.25">
      <c r="B94" s="122"/>
      <c r="C94" s="122"/>
      <c r="D94" s="8" t="s">
        <v>242</v>
      </c>
      <c r="E94" s="122"/>
      <c r="F94" s="122"/>
      <c r="G94" s="91"/>
      <c r="H94" s="91"/>
    </row>
    <row r="95" spans="2:8" ht="46.5" customHeight="1" x14ac:dyDescent="0.25">
      <c r="B95" s="122"/>
      <c r="C95" s="122"/>
      <c r="D95" s="8" t="s">
        <v>243</v>
      </c>
      <c r="E95" s="122"/>
      <c r="F95" s="122"/>
      <c r="G95" s="91"/>
      <c r="H95" s="91"/>
    </row>
    <row r="96" spans="2:8" ht="78.75" x14ac:dyDescent="0.25">
      <c r="B96" s="8" t="s">
        <v>248</v>
      </c>
      <c r="C96" s="8" t="s">
        <v>246</v>
      </c>
      <c r="D96" s="8" t="s">
        <v>247</v>
      </c>
      <c r="E96" s="8" t="s">
        <v>244</v>
      </c>
      <c r="F96" s="8">
        <v>1</v>
      </c>
      <c r="G96" s="44">
        <f>'ANÁLISE DOS PREÇOS COLETADOS'!AD122</f>
        <v>80</v>
      </c>
      <c r="H96" s="44">
        <f>G96*F96</f>
        <v>80</v>
      </c>
    </row>
    <row r="97" spans="2:8" ht="15.75" x14ac:dyDescent="0.25">
      <c r="B97" s="8" t="s">
        <v>251</v>
      </c>
      <c r="C97" s="8" t="s">
        <v>452</v>
      </c>
      <c r="D97" s="8" t="s">
        <v>453</v>
      </c>
      <c r="E97" s="8" t="s">
        <v>244</v>
      </c>
      <c r="F97" s="8">
        <v>1</v>
      </c>
      <c r="G97" s="44">
        <f>'ANÁLISE DOS PREÇOS COLETADOS'!AD123</f>
        <v>95</v>
      </c>
      <c r="H97" s="44">
        <f t="shared" ref="H97:H109" si="5">G97*F97</f>
        <v>95</v>
      </c>
    </row>
    <row r="98" spans="2:8" ht="15.75" x14ac:dyDescent="0.25">
      <c r="B98" s="8" t="s">
        <v>254</v>
      </c>
      <c r="C98" s="8" t="s">
        <v>249</v>
      </c>
      <c r="D98" s="8" t="s">
        <v>250</v>
      </c>
      <c r="E98" s="8" t="s">
        <v>244</v>
      </c>
      <c r="F98" s="8">
        <v>2</v>
      </c>
      <c r="G98" s="44">
        <f>'ANÁLISE DOS PREÇOS COLETADOS'!AD124</f>
        <v>115</v>
      </c>
      <c r="H98" s="44">
        <f t="shared" si="5"/>
        <v>230</v>
      </c>
    </row>
    <row r="99" spans="2:8" ht="63" x14ac:dyDescent="0.25">
      <c r="B99" s="8" t="s">
        <v>257</v>
      </c>
      <c r="C99" s="8" t="s">
        <v>252</v>
      </c>
      <c r="D99" s="8" t="s">
        <v>253</v>
      </c>
      <c r="E99" s="8" t="s">
        <v>154</v>
      </c>
      <c r="F99" s="8">
        <v>2</v>
      </c>
      <c r="G99" s="44">
        <f>'ANÁLISE DOS PREÇOS COLETADOS'!AD125</f>
        <v>193.75</v>
      </c>
      <c r="H99" s="44">
        <f t="shared" si="5"/>
        <v>387.5</v>
      </c>
    </row>
    <row r="100" spans="2:8" ht="31.5" x14ac:dyDescent="0.25">
      <c r="B100" s="8" t="s">
        <v>260</v>
      </c>
      <c r="C100" s="8" t="s">
        <v>255</v>
      </c>
      <c r="D100" s="8" t="s">
        <v>256</v>
      </c>
      <c r="E100" s="8" t="s">
        <v>244</v>
      </c>
      <c r="F100" s="8">
        <v>1</v>
      </c>
      <c r="G100" s="44">
        <f>'ANÁLISE DOS PREÇOS COLETADOS'!AD126</f>
        <v>650</v>
      </c>
      <c r="H100" s="44">
        <f t="shared" si="5"/>
        <v>650</v>
      </c>
    </row>
    <row r="101" spans="2:8" ht="47.25" x14ac:dyDescent="0.25">
      <c r="B101" s="8" t="s">
        <v>263</v>
      </c>
      <c r="C101" s="8" t="s">
        <v>258</v>
      </c>
      <c r="D101" s="8" t="s">
        <v>259</v>
      </c>
      <c r="E101" s="8" t="s">
        <v>244</v>
      </c>
      <c r="F101" s="8">
        <v>1</v>
      </c>
      <c r="G101" s="44">
        <f>'ANÁLISE DOS PREÇOS COLETADOS'!AD127</f>
        <v>144.25</v>
      </c>
      <c r="H101" s="44">
        <f t="shared" si="5"/>
        <v>144.25</v>
      </c>
    </row>
    <row r="102" spans="2:8" ht="15.75" x14ac:dyDescent="0.25">
      <c r="B102" s="8" t="s">
        <v>266</v>
      </c>
      <c r="C102" s="8" t="s">
        <v>454</v>
      </c>
      <c r="D102" s="8" t="s">
        <v>455</v>
      </c>
      <c r="E102" s="8" t="s">
        <v>244</v>
      </c>
      <c r="F102" s="8">
        <v>1</v>
      </c>
      <c r="G102" s="44">
        <f>'ANÁLISE DOS PREÇOS COLETADOS'!AD128</f>
        <v>140</v>
      </c>
      <c r="H102" s="44">
        <f t="shared" si="5"/>
        <v>140</v>
      </c>
    </row>
    <row r="103" spans="2:8" ht="15.75" x14ac:dyDescent="0.25">
      <c r="B103" s="8" t="s">
        <v>269</v>
      </c>
      <c r="C103" s="8" t="s">
        <v>261</v>
      </c>
      <c r="D103" s="8" t="s">
        <v>262</v>
      </c>
      <c r="E103" s="8" t="s">
        <v>244</v>
      </c>
      <c r="F103" s="8">
        <v>1</v>
      </c>
      <c r="G103" s="44">
        <f>'ANÁLISE DOS PREÇOS COLETADOS'!AD129</f>
        <v>200</v>
      </c>
      <c r="H103" s="44">
        <f t="shared" si="5"/>
        <v>200</v>
      </c>
    </row>
    <row r="104" spans="2:8" ht="31.5" x14ac:dyDescent="0.25">
      <c r="B104" s="8" t="s">
        <v>272</v>
      </c>
      <c r="C104" s="8" t="s">
        <v>264</v>
      </c>
      <c r="D104" s="8" t="s">
        <v>265</v>
      </c>
      <c r="E104" s="8" t="s">
        <v>244</v>
      </c>
      <c r="F104" s="8">
        <v>1</v>
      </c>
      <c r="G104" s="44">
        <f>'ANÁLISE DOS PREÇOS COLETADOS'!AD130</f>
        <v>170.66666666666666</v>
      </c>
      <c r="H104" s="44">
        <f t="shared" si="5"/>
        <v>170.66666666666666</v>
      </c>
    </row>
    <row r="105" spans="2:8" ht="31.5" x14ac:dyDescent="0.25">
      <c r="B105" s="8" t="s">
        <v>275</v>
      </c>
      <c r="C105" s="8" t="s">
        <v>267</v>
      </c>
      <c r="D105" s="8" t="s">
        <v>268</v>
      </c>
      <c r="E105" s="8" t="s">
        <v>244</v>
      </c>
      <c r="F105" s="8">
        <v>2</v>
      </c>
      <c r="G105" s="44">
        <f>'ANÁLISE DOS PREÇOS COLETADOS'!AD131</f>
        <v>137.5</v>
      </c>
      <c r="H105" s="44">
        <f t="shared" si="5"/>
        <v>275</v>
      </c>
    </row>
    <row r="106" spans="2:8" ht="31.5" x14ac:dyDescent="0.25">
      <c r="B106" s="8" t="s">
        <v>278</v>
      </c>
      <c r="C106" s="8" t="s">
        <v>270</v>
      </c>
      <c r="D106" s="8" t="s">
        <v>271</v>
      </c>
      <c r="E106" s="8" t="s">
        <v>244</v>
      </c>
      <c r="F106" s="8">
        <v>1</v>
      </c>
      <c r="G106" s="44">
        <f>'ANÁLISE DOS PREÇOS COLETADOS'!AD132</f>
        <v>192.5</v>
      </c>
      <c r="H106" s="44">
        <f t="shared" si="5"/>
        <v>192.5</v>
      </c>
    </row>
    <row r="107" spans="2:8" ht="47.25" x14ac:dyDescent="0.25">
      <c r="B107" s="8" t="s">
        <v>281</v>
      </c>
      <c r="C107" s="8" t="s">
        <v>273</v>
      </c>
      <c r="D107" s="8" t="s">
        <v>274</v>
      </c>
      <c r="E107" s="8" t="s">
        <v>244</v>
      </c>
      <c r="F107" s="8">
        <v>1</v>
      </c>
      <c r="G107" s="44">
        <f>'ANÁLISE DOS PREÇOS COLETADOS'!AD138</f>
        <v>150</v>
      </c>
      <c r="H107" s="44">
        <f t="shared" si="5"/>
        <v>150</v>
      </c>
    </row>
    <row r="108" spans="2:8" ht="31.5" x14ac:dyDescent="0.25">
      <c r="B108" s="8" t="s">
        <v>285</v>
      </c>
      <c r="C108" s="8" t="s">
        <v>276</v>
      </c>
      <c r="D108" s="8" t="s">
        <v>277</v>
      </c>
      <c r="E108" s="8" t="s">
        <v>244</v>
      </c>
      <c r="F108" s="8">
        <v>1</v>
      </c>
      <c r="G108" s="44">
        <f>'ANÁLISE DOS PREÇOS COLETADOS'!AD140</f>
        <v>105</v>
      </c>
      <c r="H108" s="44">
        <f t="shared" si="5"/>
        <v>105</v>
      </c>
    </row>
    <row r="109" spans="2:8" ht="31.5" x14ac:dyDescent="0.25">
      <c r="B109" s="8" t="s">
        <v>460</v>
      </c>
      <c r="C109" s="8" t="s">
        <v>462</v>
      </c>
      <c r="D109" s="8" t="s">
        <v>463</v>
      </c>
      <c r="E109" s="8" t="s">
        <v>244</v>
      </c>
      <c r="F109" s="8">
        <v>1</v>
      </c>
      <c r="G109" s="44">
        <f>'ANÁLISE DOS PREÇOS COLETADOS'!AD139</f>
        <v>133.33333333333334</v>
      </c>
      <c r="H109" s="44">
        <f t="shared" si="5"/>
        <v>133.33333333333334</v>
      </c>
    </row>
    <row r="110" spans="2:8" ht="15.75" x14ac:dyDescent="0.25">
      <c r="B110" s="84" t="s">
        <v>402</v>
      </c>
      <c r="C110" s="84"/>
      <c r="D110" s="84"/>
      <c r="E110" s="84"/>
      <c r="F110" s="84"/>
      <c r="G110" s="118">
        <f>SUM(H85:H109)</f>
        <v>3769.0833333333335</v>
      </c>
      <c r="H110" s="78"/>
    </row>
    <row r="111" spans="2:8" ht="15.75" customHeight="1" x14ac:dyDescent="0.25">
      <c r="B111" s="84" t="s">
        <v>288</v>
      </c>
      <c r="C111" s="84"/>
      <c r="D111" s="84"/>
      <c r="E111" s="84"/>
      <c r="F111" s="84"/>
      <c r="G111" s="84"/>
      <c r="H111" s="84"/>
    </row>
    <row r="112" spans="2:8" ht="61.5" customHeight="1" x14ac:dyDescent="0.25">
      <c r="B112" s="11" t="s">
        <v>1</v>
      </c>
      <c r="C112" s="11" t="s">
        <v>2</v>
      </c>
      <c r="D112" s="11" t="s">
        <v>3</v>
      </c>
      <c r="E112" s="11" t="s">
        <v>396</v>
      </c>
      <c r="F112" s="11" t="s">
        <v>4</v>
      </c>
      <c r="G112" s="47" t="s">
        <v>759</v>
      </c>
      <c r="H112" s="47" t="s">
        <v>767</v>
      </c>
    </row>
    <row r="113" spans="2:8" ht="31.5" x14ac:dyDescent="0.25">
      <c r="B113" s="8" t="s">
        <v>289</v>
      </c>
      <c r="C113" s="8" t="s">
        <v>468</v>
      </c>
      <c r="D113" s="8" t="s">
        <v>469</v>
      </c>
      <c r="E113" s="8" t="s">
        <v>470</v>
      </c>
      <c r="F113" s="8">
        <v>150</v>
      </c>
      <c r="G113" s="44">
        <f>'ANÁLISE DOS PREÇOS COLETADOS'!AD145</f>
        <v>4.9350000000000005</v>
      </c>
      <c r="H113" s="44">
        <f>G113*F113</f>
        <v>740.25000000000011</v>
      </c>
    </row>
    <row r="114" spans="2:8" ht="31.5" x14ac:dyDescent="0.25">
      <c r="B114" s="8" t="s">
        <v>292</v>
      </c>
      <c r="C114" s="8" t="s">
        <v>471</v>
      </c>
      <c r="D114" s="8" t="s">
        <v>472</v>
      </c>
      <c r="E114" s="8" t="s">
        <v>470</v>
      </c>
      <c r="F114" s="8">
        <v>150</v>
      </c>
      <c r="G114" s="44">
        <f>'ANÁLISE DOS PREÇOS COLETADOS'!AD146</f>
        <v>11.185</v>
      </c>
      <c r="H114" s="44">
        <f t="shared" ref="H114:H160" si="6">G114*F114</f>
        <v>1677.75</v>
      </c>
    </row>
    <row r="115" spans="2:8" ht="15.75" x14ac:dyDescent="0.25">
      <c r="B115" s="8" t="s">
        <v>295</v>
      </c>
      <c r="C115" s="8" t="s">
        <v>476</v>
      </c>
      <c r="D115" s="8" t="s">
        <v>719</v>
      </c>
      <c r="E115" s="8" t="s">
        <v>70</v>
      </c>
      <c r="F115" s="8">
        <v>2</v>
      </c>
      <c r="G115" s="44">
        <f>'ANÁLISE DOS PREÇOS COLETADOS'!AD148</f>
        <v>265</v>
      </c>
      <c r="H115" s="44">
        <f t="shared" si="6"/>
        <v>530</v>
      </c>
    </row>
    <row r="116" spans="2:8" ht="15.75" x14ac:dyDescent="0.25">
      <c r="B116" s="8" t="s">
        <v>298</v>
      </c>
      <c r="C116" s="8" t="s">
        <v>483</v>
      </c>
      <c r="D116" s="8" t="s">
        <v>484</v>
      </c>
      <c r="E116" s="8" t="s">
        <v>70</v>
      </c>
      <c r="F116" s="8">
        <v>1</v>
      </c>
      <c r="G116" s="44">
        <f>'ANÁLISE DOS PREÇOS COLETADOS'!AD153</f>
        <v>550</v>
      </c>
      <c r="H116" s="44">
        <f t="shared" si="6"/>
        <v>550</v>
      </c>
    </row>
    <row r="117" spans="2:8" ht="31.5" x14ac:dyDescent="0.25">
      <c r="B117" s="8" t="s">
        <v>302</v>
      </c>
      <c r="C117" s="8" t="s">
        <v>485</v>
      </c>
      <c r="D117" s="8" t="s">
        <v>486</v>
      </c>
      <c r="E117" s="8" t="s">
        <v>70</v>
      </c>
      <c r="F117" s="8">
        <v>2</v>
      </c>
      <c r="G117" s="44">
        <f>'ANÁLISE DOS PREÇOS COLETADOS'!AD154</f>
        <v>250</v>
      </c>
      <c r="H117" s="44">
        <f t="shared" si="6"/>
        <v>500</v>
      </c>
    </row>
    <row r="118" spans="2:8" ht="31.5" x14ac:dyDescent="0.25">
      <c r="B118" s="8" t="s">
        <v>305</v>
      </c>
      <c r="C118" s="8" t="s">
        <v>653</v>
      </c>
      <c r="D118" s="8" t="s">
        <v>489</v>
      </c>
      <c r="E118" s="8" t="s">
        <v>7</v>
      </c>
      <c r="F118" s="8">
        <v>28</v>
      </c>
      <c r="G118" s="44">
        <f>'ANÁLISE DOS PREÇOS COLETADOS'!AD157</f>
        <v>10</v>
      </c>
      <c r="H118" s="44">
        <f t="shared" si="6"/>
        <v>280</v>
      </c>
    </row>
    <row r="119" spans="2:8" ht="47.25" x14ac:dyDescent="0.25">
      <c r="B119" s="8" t="s">
        <v>309</v>
      </c>
      <c r="C119" s="8" t="s">
        <v>491</v>
      </c>
      <c r="D119" s="8" t="s">
        <v>492</v>
      </c>
      <c r="E119" s="8" t="s">
        <v>70</v>
      </c>
      <c r="F119" s="8">
        <v>4</v>
      </c>
      <c r="G119" s="44">
        <f>'ANÁLISE DOS PREÇOS COLETADOS'!AD159</f>
        <v>90</v>
      </c>
      <c r="H119" s="44">
        <f t="shared" si="6"/>
        <v>360</v>
      </c>
    </row>
    <row r="120" spans="2:8" ht="94.5" x14ac:dyDescent="0.25">
      <c r="B120" s="8" t="s">
        <v>312</v>
      </c>
      <c r="C120" s="8" t="s">
        <v>493</v>
      </c>
      <c r="D120" s="8" t="s">
        <v>628</v>
      </c>
      <c r="E120" s="8" t="s">
        <v>70</v>
      </c>
      <c r="F120" s="8">
        <v>2</v>
      </c>
      <c r="G120" s="44">
        <f>'ANÁLISE DOS PREÇOS COLETADOS'!AD160</f>
        <v>332.5</v>
      </c>
      <c r="H120" s="44">
        <f t="shared" si="6"/>
        <v>665</v>
      </c>
    </row>
    <row r="121" spans="2:8" ht="78.75" x14ac:dyDescent="0.25">
      <c r="B121" s="8" t="s">
        <v>315</v>
      </c>
      <c r="C121" s="8" t="s">
        <v>299</v>
      </c>
      <c r="D121" s="8" t="s">
        <v>300</v>
      </c>
      <c r="E121" s="8" t="s">
        <v>357</v>
      </c>
      <c r="F121" s="8">
        <v>4.32</v>
      </c>
      <c r="G121" s="44">
        <f>'ANÁLISE DOS PREÇOS COLETADOS'!AD161</f>
        <v>50</v>
      </c>
      <c r="H121" s="44">
        <f t="shared" si="6"/>
        <v>216</v>
      </c>
    </row>
    <row r="122" spans="2:8" ht="47.25" x14ac:dyDescent="0.25">
      <c r="B122" s="8" t="s">
        <v>318</v>
      </c>
      <c r="C122" s="8" t="s">
        <v>655</v>
      </c>
      <c r="D122" s="8" t="s">
        <v>294</v>
      </c>
      <c r="E122" s="8" t="s">
        <v>70</v>
      </c>
      <c r="F122" s="8">
        <v>4</v>
      </c>
      <c r="G122" s="44">
        <f>'ANÁLISE DOS PREÇOS COLETADOS'!AD163</f>
        <v>12.4</v>
      </c>
      <c r="H122" s="44">
        <f t="shared" si="6"/>
        <v>49.6</v>
      </c>
    </row>
    <row r="123" spans="2:8" ht="31.5" x14ac:dyDescent="0.25">
      <c r="B123" s="8" t="s">
        <v>321</v>
      </c>
      <c r="C123" s="8" t="s">
        <v>720</v>
      </c>
      <c r="D123" s="8" t="s">
        <v>721</v>
      </c>
      <c r="E123" s="8" t="s">
        <v>70</v>
      </c>
      <c r="F123" s="8">
        <v>6</v>
      </c>
      <c r="G123" s="44">
        <f>'ANÁLISE DOS PREÇOS COLETADOS'!AD164</f>
        <v>151.5</v>
      </c>
      <c r="H123" s="44">
        <f t="shared" si="6"/>
        <v>909</v>
      </c>
    </row>
    <row r="124" spans="2:8" ht="47.25" x14ac:dyDescent="0.25">
      <c r="B124" s="8" t="s">
        <v>324</v>
      </c>
      <c r="C124" s="8" t="s">
        <v>495</v>
      </c>
      <c r="D124" s="8" t="s">
        <v>496</v>
      </c>
      <c r="E124" s="8" t="s">
        <v>70</v>
      </c>
      <c r="F124" s="8">
        <v>6</v>
      </c>
      <c r="G124" s="44">
        <f>'ANÁLISE DOS PREÇOS COLETADOS'!AD165</f>
        <v>26.666666666666668</v>
      </c>
      <c r="H124" s="44">
        <f t="shared" si="6"/>
        <v>160</v>
      </c>
    </row>
    <row r="125" spans="2:8" ht="47.25" x14ac:dyDescent="0.25">
      <c r="B125" s="8" t="s">
        <v>327</v>
      </c>
      <c r="C125" s="8" t="s">
        <v>497</v>
      </c>
      <c r="D125" s="8" t="s">
        <v>498</v>
      </c>
      <c r="E125" s="8" t="s">
        <v>490</v>
      </c>
      <c r="F125" s="8">
        <v>1</v>
      </c>
      <c r="G125" s="44">
        <f>'ANÁLISE DOS PREÇOS COLETADOS'!AD166</f>
        <v>425</v>
      </c>
      <c r="H125" s="44">
        <f t="shared" si="6"/>
        <v>425</v>
      </c>
    </row>
    <row r="126" spans="2:8" ht="15.75" x14ac:dyDescent="0.25">
      <c r="B126" s="8" t="s">
        <v>330</v>
      </c>
      <c r="C126" s="8" t="s">
        <v>500</v>
      </c>
      <c r="D126" s="8" t="s">
        <v>501</v>
      </c>
      <c r="E126" s="8" t="s">
        <v>12</v>
      </c>
      <c r="F126" s="8">
        <v>6</v>
      </c>
      <c r="G126" s="44">
        <f>'ANÁLISE DOS PREÇOS COLETADOS'!AD169</f>
        <v>84</v>
      </c>
      <c r="H126" s="44">
        <f t="shared" si="6"/>
        <v>504</v>
      </c>
    </row>
    <row r="127" spans="2:8" ht="15.75" x14ac:dyDescent="0.25">
      <c r="B127" s="8" t="s">
        <v>333</v>
      </c>
      <c r="C127" s="8" t="s">
        <v>722</v>
      </c>
      <c r="D127" s="8" t="s">
        <v>503</v>
      </c>
      <c r="E127" s="8" t="s">
        <v>70</v>
      </c>
      <c r="F127" s="8">
        <v>57</v>
      </c>
      <c r="G127" s="44">
        <f>'ANÁLISE DOS PREÇOS COLETADOS'!AD170</f>
        <v>6</v>
      </c>
      <c r="H127" s="44">
        <f t="shared" si="6"/>
        <v>342</v>
      </c>
    </row>
    <row r="128" spans="2:8" ht="31.5" x14ac:dyDescent="0.25">
      <c r="B128" s="8" t="s">
        <v>336</v>
      </c>
      <c r="C128" s="8" t="s">
        <v>313</v>
      </c>
      <c r="D128" s="8" t="s">
        <v>314</v>
      </c>
      <c r="E128" s="8" t="s">
        <v>70</v>
      </c>
      <c r="F128" s="8">
        <v>10</v>
      </c>
      <c r="G128" s="44">
        <f>'ANÁLISE DOS PREÇOS COLETADOS'!AD171</f>
        <v>8.6</v>
      </c>
      <c r="H128" s="44">
        <f t="shared" si="6"/>
        <v>86</v>
      </c>
    </row>
    <row r="129" spans="2:8" ht="31.5" x14ac:dyDescent="0.25">
      <c r="B129" s="8" t="s">
        <v>339</v>
      </c>
      <c r="C129" s="8" t="s">
        <v>723</v>
      </c>
      <c r="D129" s="8" t="s">
        <v>724</v>
      </c>
      <c r="E129" s="8" t="s">
        <v>70</v>
      </c>
      <c r="F129" s="8">
        <v>10</v>
      </c>
      <c r="G129" s="44">
        <f>'ANÁLISE DOS PREÇOS COLETADOS'!AD174</f>
        <v>15.2</v>
      </c>
      <c r="H129" s="44">
        <f t="shared" si="6"/>
        <v>152</v>
      </c>
    </row>
    <row r="130" spans="2:8" ht="47.25" x14ac:dyDescent="0.25">
      <c r="B130" s="8" t="s">
        <v>342</v>
      </c>
      <c r="C130" s="8" t="s">
        <v>504</v>
      </c>
      <c r="D130" s="8" t="s">
        <v>505</v>
      </c>
      <c r="E130" s="8" t="s">
        <v>70</v>
      </c>
      <c r="F130" s="8">
        <v>2</v>
      </c>
      <c r="G130" s="44">
        <f>'ANÁLISE DOS PREÇOS COLETADOS'!AD175</f>
        <v>50</v>
      </c>
      <c r="H130" s="44">
        <f t="shared" si="6"/>
        <v>100</v>
      </c>
    </row>
    <row r="131" spans="2:8" ht="31.5" x14ac:dyDescent="0.25">
      <c r="B131" s="8" t="s">
        <v>345</v>
      </c>
      <c r="C131" s="8" t="s">
        <v>508</v>
      </c>
      <c r="D131" s="8" t="s">
        <v>509</v>
      </c>
      <c r="E131" s="8" t="s">
        <v>510</v>
      </c>
      <c r="F131" s="8">
        <v>60</v>
      </c>
      <c r="G131" s="44">
        <f>'ANÁLISE DOS PREÇOS COLETADOS'!AD177</f>
        <v>12</v>
      </c>
      <c r="H131" s="44">
        <f t="shared" si="6"/>
        <v>720</v>
      </c>
    </row>
    <row r="132" spans="2:8" ht="15.75" x14ac:dyDescent="0.25">
      <c r="B132" s="8" t="s">
        <v>348</v>
      </c>
      <c r="C132" s="8" t="s">
        <v>377</v>
      </c>
      <c r="D132" s="8" t="s">
        <v>725</v>
      </c>
      <c r="E132" s="8" t="s">
        <v>70</v>
      </c>
      <c r="F132" s="8">
        <v>80</v>
      </c>
      <c r="G132" s="44">
        <f>'ANÁLISE DOS PREÇOS COLETADOS'!AD167</f>
        <v>21.740000000000002</v>
      </c>
      <c r="H132" s="44">
        <f t="shared" si="6"/>
        <v>1739.2000000000003</v>
      </c>
    </row>
    <row r="133" spans="2:8" ht="31.5" x14ac:dyDescent="0.25">
      <c r="B133" s="8" t="s">
        <v>351</v>
      </c>
      <c r="C133" s="8" t="s">
        <v>518</v>
      </c>
      <c r="D133" s="8" t="s">
        <v>519</v>
      </c>
      <c r="E133" s="8" t="s">
        <v>357</v>
      </c>
      <c r="F133" s="8">
        <v>1</v>
      </c>
      <c r="G133" s="44">
        <f>'ANÁLISE DOS PREÇOS COLETADOS'!AD183</f>
        <v>120</v>
      </c>
      <c r="H133" s="44">
        <f t="shared" si="6"/>
        <v>120</v>
      </c>
    </row>
    <row r="134" spans="2:8" ht="15.75" x14ac:dyDescent="0.25">
      <c r="B134" s="8" t="s">
        <v>354</v>
      </c>
      <c r="C134" s="8" t="s">
        <v>524</v>
      </c>
      <c r="D134" s="8" t="s">
        <v>525</v>
      </c>
      <c r="E134" s="8" t="s">
        <v>357</v>
      </c>
      <c r="F134" s="8">
        <v>30</v>
      </c>
      <c r="G134" s="44">
        <f>'ANÁLISE DOS PREÇOS COLETADOS'!AD185</f>
        <v>20.5</v>
      </c>
      <c r="H134" s="44">
        <f t="shared" si="6"/>
        <v>615</v>
      </c>
    </row>
    <row r="135" spans="2:8" ht="31.5" x14ac:dyDescent="0.25">
      <c r="B135" s="8" t="s">
        <v>358</v>
      </c>
      <c r="C135" s="8" t="s">
        <v>726</v>
      </c>
      <c r="D135" s="8" t="s">
        <v>326</v>
      </c>
      <c r="E135" s="8" t="s">
        <v>70</v>
      </c>
      <c r="F135" s="8">
        <v>2</v>
      </c>
      <c r="G135" s="44">
        <f>'ANÁLISE DOS PREÇOS COLETADOS'!AD186</f>
        <v>12.5</v>
      </c>
      <c r="H135" s="44">
        <f t="shared" si="6"/>
        <v>25</v>
      </c>
    </row>
    <row r="136" spans="2:8" ht="31.5" x14ac:dyDescent="0.25">
      <c r="B136" s="8" t="s">
        <v>362</v>
      </c>
      <c r="C136" s="8" t="s">
        <v>328</v>
      </c>
      <c r="D136" s="8" t="s">
        <v>529</v>
      </c>
      <c r="E136" s="8" t="s">
        <v>70</v>
      </c>
      <c r="F136" s="8">
        <v>2</v>
      </c>
      <c r="G136" s="44">
        <f>'ANÁLISE DOS PREÇOS COLETADOS'!AD187</f>
        <v>95</v>
      </c>
      <c r="H136" s="44">
        <f t="shared" si="6"/>
        <v>190</v>
      </c>
    </row>
    <row r="137" spans="2:8" ht="31.5" x14ac:dyDescent="0.25">
      <c r="B137" s="8" t="s">
        <v>365</v>
      </c>
      <c r="C137" s="8" t="s">
        <v>346</v>
      </c>
      <c r="D137" s="8" t="s">
        <v>347</v>
      </c>
      <c r="E137" s="8" t="s">
        <v>70</v>
      </c>
      <c r="F137" s="8">
        <v>4</v>
      </c>
      <c r="G137" s="44">
        <f>'ANÁLISE DOS PREÇOS COLETADOS'!AD189</f>
        <v>20</v>
      </c>
      <c r="H137" s="44">
        <f t="shared" si="6"/>
        <v>80</v>
      </c>
    </row>
    <row r="138" spans="2:8" ht="31.5" x14ac:dyDescent="0.25">
      <c r="B138" s="8" t="s">
        <v>368</v>
      </c>
      <c r="C138" s="8" t="s">
        <v>334</v>
      </c>
      <c r="D138" s="8" t="s">
        <v>662</v>
      </c>
      <c r="E138" s="8" t="s">
        <v>70</v>
      </c>
      <c r="F138" s="8">
        <v>1</v>
      </c>
      <c r="G138" s="44">
        <f>'ANÁLISE DOS PREÇOS COLETADOS'!AD192</f>
        <v>75.88666666666667</v>
      </c>
      <c r="H138" s="44">
        <f t="shared" si="6"/>
        <v>75.88666666666667</v>
      </c>
    </row>
    <row r="139" spans="2:8" ht="31.5" x14ac:dyDescent="0.25">
      <c r="B139" s="8" t="s">
        <v>372</v>
      </c>
      <c r="C139" s="8" t="s">
        <v>337</v>
      </c>
      <c r="D139" s="8" t="s">
        <v>663</v>
      </c>
      <c r="E139" s="8" t="s">
        <v>70</v>
      </c>
      <c r="F139" s="8">
        <v>2</v>
      </c>
      <c r="G139" s="44">
        <f>'ANÁLISE DOS PREÇOS COLETADOS'!AD193</f>
        <v>20</v>
      </c>
      <c r="H139" s="44">
        <f t="shared" si="6"/>
        <v>40</v>
      </c>
    </row>
    <row r="140" spans="2:8" ht="47.25" x14ac:dyDescent="0.25">
      <c r="B140" s="8" t="s">
        <v>513</v>
      </c>
      <c r="C140" s="8" t="s">
        <v>340</v>
      </c>
      <c r="D140" s="8" t="s">
        <v>341</v>
      </c>
      <c r="E140" s="8" t="s">
        <v>70</v>
      </c>
      <c r="F140" s="8">
        <v>1</v>
      </c>
      <c r="G140" s="44">
        <f>'ANÁLISE DOS PREÇOS COLETADOS'!AD194</f>
        <v>51</v>
      </c>
      <c r="H140" s="44">
        <f t="shared" si="6"/>
        <v>51</v>
      </c>
    </row>
    <row r="141" spans="2:8" ht="63" x14ac:dyDescent="0.25">
      <c r="B141" s="8" t="s">
        <v>516</v>
      </c>
      <c r="C141" s="8" t="s">
        <v>727</v>
      </c>
      <c r="D141" s="8" t="s">
        <v>728</v>
      </c>
      <c r="E141" s="8" t="s">
        <v>224</v>
      </c>
      <c r="F141" s="8">
        <v>15</v>
      </c>
      <c r="G141" s="44">
        <f>'ANÁLISE DOS PREÇOS COLETADOS'!AD196</f>
        <v>30</v>
      </c>
      <c r="H141" s="44">
        <f t="shared" si="6"/>
        <v>450</v>
      </c>
    </row>
    <row r="142" spans="2:8" ht="31.5" x14ac:dyDescent="0.25">
      <c r="B142" s="8" t="s">
        <v>517</v>
      </c>
      <c r="C142" s="8" t="s">
        <v>352</v>
      </c>
      <c r="D142" s="8" t="s">
        <v>353</v>
      </c>
      <c r="E142" s="8" t="s">
        <v>12</v>
      </c>
      <c r="F142" s="8">
        <v>1</v>
      </c>
      <c r="G142" s="44">
        <f>'ANÁLISE DOS PREÇOS COLETADOS'!AD199</f>
        <v>44</v>
      </c>
      <c r="H142" s="44">
        <f t="shared" si="6"/>
        <v>44</v>
      </c>
    </row>
    <row r="143" spans="2:8" ht="94.5" x14ac:dyDescent="0.25">
      <c r="B143" s="8" t="s">
        <v>520</v>
      </c>
      <c r="C143" s="8" t="s">
        <v>550</v>
      </c>
      <c r="D143" s="8" t="s">
        <v>551</v>
      </c>
      <c r="E143" s="8" t="s">
        <v>12</v>
      </c>
      <c r="F143" s="8">
        <v>1</v>
      </c>
      <c r="G143" s="44">
        <f>'ANÁLISE DOS PREÇOS COLETADOS'!AD200</f>
        <v>145</v>
      </c>
      <c r="H143" s="44">
        <f t="shared" si="6"/>
        <v>145</v>
      </c>
    </row>
    <row r="144" spans="2:8" ht="15.75" x14ac:dyDescent="0.25">
      <c r="B144" s="8" t="s">
        <v>523</v>
      </c>
      <c r="C144" s="8" t="s">
        <v>355</v>
      </c>
      <c r="D144" s="8" t="s">
        <v>356</v>
      </c>
      <c r="E144" s="8" t="s">
        <v>181</v>
      </c>
      <c r="F144" s="8">
        <v>2</v>
      </c>
      <c r="G144" s="44">
        <f>'ANÁLISE DOS PREÇOS COLETADOS'!AD241</f>
        <v>8</v>
      </c>
      <c r="H144" s="44">
        <f t="shared" si="6"/>
        <v>16</v>
      </c>
    </row>
    <row r="145" spans="2:8" ht="47.25" x14ac:dyDescent="0.25">
      <c r="B145" s="8" t="s">
        <v>526</v>
      </c>
      <c r="C145" s="8" t="s">
        <v>359</v>
      </c>
      <c r="D145" s="8" t="s">
        <v>360</v>
      </c>
      <c r="E145" s="8" t="s">
        <v>224</v>
      </c>
      <c r="F145" s="8">
        <v>16</v>
      </c>
      <c r="G145" s="44">
        <f>'ANÁLISE DOS PREÇOS COLETADOS'!AD206</f>
        <v>25.5</v>
      </c>
      <c r="H145" s="44">
        <f t="shared" si="6"/>
        <v>408</v>
      </c>
    </row>
    <row r="146" spans="2:8" ht="15.75" x14ac:dyDescent="0.25">
      <c r="B146" s="8" t="s">
        <v>527</v>
      </c>
      <c r="C146" s="8" t="s">
        <v>565</v>
      </c>
      <c r="D146" s="8" t="s">
        <v>729</v>
      </c>
      <c r="E146" s="8" t="s">
        <v>70</v>
      </c>
      <c r="F146" s="8">
        <v>10</v>
      </c>
      <c r="G146" s="44">
        <f>'ANÁLISE DOS PREÇOS COLETADOS'!AD207</f>
        <v>6.62</v>
      </c>
      <c r="H146" s="44">
        <f t="shared" si="6"/>
        <v>66.2</v>
      </c>
    </row>
    <row r="147" spans="2:8" ht="31.5" x14ac:dyDescent="0.25">
      <c r="B147" s="8" t="s">
        <v>530</v>
      </c>
      <c r="C147" s="8" t="s">
        <v>363</v>
      </c>
      <c r="D147" s="8" t="s">
        <v>364</v>
      </c>
      <c r="E147" s="8" t="s">
        <v>70</v>
      </c>
      <c r="F147" s="8">
        <v>2</v>
      </c>
      <c r="G147" s="44">
        <f>'ANÁLISE DOS PREÇOS COLETADOS'!AD208</f>
        <v>40.032499999999999</v>
      </c>
      <c r="H147" s="44">
        <f t="shared" si="6"/>
        <v>80.064999999999998</v>
      </c>
    </row>
    <row r="148" spans="2:8" ht="15.75" x14ac:dyDescent="0.25">
      <c r="B148" s="8" t="s">
        <v>533</v>
      </c>
      <c r="C148" s="8" t="s">
        <v>569</v>
      </c>
      <c r="D148" s="8" t="s">
        <v>671</v>
      </c>
      <c r="E148" s="8" t="s">
        <v>357</v>
      </c>
      <c r="F148" s="8">
        <v>6</v>
      </c>
      <c r="G148" s="44">
        <f>'ANÁLISE DOS PREÇOS COLETADOS'!AD212</f>
        <v>28</v>
      </c>
      <c r="H148" s="44">
        <f t="shared" si="6"/>
        <v>168</v>
      </c>
    </row>
    <row r="149" spans="2:8" ht="15.75" x14ac:dyDescent="0.25">
      <c r="B149" s="8" t="s">
        <v>534</v>
      </c>
      <c r="C149" s="8" t="s">
        <v>670</v>
      </c>
      <c r="D149" s="8" t="s">
        <v>570</v>
      </c>
      <c r="E149" s="8" t="s">
        <v>70</v>
      </c>
      <c r="F149" s="8">
        <v>6</v>
      </c>
      <c r="G149" s="44">
        <f>'ANÁLISE DOS PREÇOS COLETADOS'!AD211</f>
        <v>50</v>
      </c>
      <c r="H149" s="44">
        <f t="shared" si="6"/>
        <v>300</v>
      </c>
    </row>
    <row r="150" spans="2:8" ht="31.5" x14ac:dyDescent="0.25">
      <c r="B150" s="8" t="s">
        <v>535</v>
      </c>
      <c r="C150" s="8" t="s">
        <v>369</v>
      </c>
      <c r="D150" s="8" t="s">
        <v>370</v>
      </c>
      <c r="E150" s="8" t="s">
        <v>371</v>
      </c>
      <c r="F150" s="8">
        <v>6</v>
      </c>
      <c r="G150" s="44">
        <f>'ANÁLISE DOS PREÇOS COLETADOS'!AD213</f>
        <v>120</v>
      </c>
      <c r="H150" s="44">
        <f t="shared" si="6"/>
        <v>720</v>
      </c>
    </row>
    <row r="151" spans="2:8" ht="63" customHeight="1" x14ac:dyDescent="0.25">
      <c r="B151" s="8" t="s">
        <v>538</v>
      </c>
      <c r="C151" s="8" t="s">
        <v>573</v>
      </c>
      <c r="D151" s="8" t="s">
        <v>574</v>
      </c>
      <c r="E151" s="8" t="s">
        <v>70</v>
      </c>
      <c r="F151" s="8">
        <v>1</v>
      </c>
      <c r="G151" s="44">
        <f>'ANÁLISE DOS PREÇOS COLETADOS'!AD214</f>
        <v>450</v>
      </c>
      <c r="H151" s="44">
        <f t="shared" si="6"/>
        <v>450</v>
      </c>
    </row>
    <row r="152" spans="2:8" ht="31.5" x14ac:dyDescent="0.25">
      <c r="B152" s="8" t="s">
        <v>539</v>
      </c>
      <c r="C152" s="8" t="s">
        <v>576</v>
      </c>
      <c r="D152" s="8" t="s">
        <v>574</v>
      </c>
      <c r="E152" s="8" t="s">
        <v>70</v>
      </c>
      <c r="F152" s="8">
        <v>1</v>
      </c>
      <c r="G152" s="44">
        <f>'ANÁLISE DOS PREÇOS COLETADOS'!AD215</f>
        <v>624.75</v>
      </c>
      <c r="H152" s="44">
        <f t="shared" si="6"/>
        <v>624.75</v>
      </c>
    </row>
    <row r="153" spans="2:8" ht="31.5" x14ac:dyDescent="0.25">
      <c r="B153" s="8" t="s">
        <v>541</v>
      </c>
      <c r="C153" s="8" t="s">
        <v>578</v>
      </c>
      <c r="D153" s="8" t="s">
        <v>574</v>
      </c>
      <c r="E153" s="8" t="s">
        <v>70</v>
      </c>
      <c r="F153" s="8">
        <v>1</v>
      </c>
      <c r="G153" s="44">
        <f>'ANÁLISE DOS PREÇOS COLETADOS'!AD216</f>
        <v>860</v>
      </c>
      <c r="H153" s="44">
        <f t="shared" si="6"/>
        <v>860</v>
      </c>
    </row>
    <row r="154" spans="2:8" ht="31.5" x14ac:dyDescent="0.25">
      <c r="B154" s="8" t="s">
        <v>543</v>
      </c>
      <c r="C154" s="8" t="s">
        <v>580</v>
      </c>
      <c r="D154" s="8" t="s">
        <v>574</v>
      </c>
      <c r="E154" s="8" t="s">
        <v>70</v>
      </c>
      <c r="F154" s="8">
        <v>1</v>
      </c>
      <c r="G154" s="44">
        <f>'ANÁLISE DOS PREÇOS COLETADOS'!AD217</f>
        <v>833.33333333333337</v>
      </c>
      <c r="H154" s="44">
        <f t="shared" si="6"/>
        <v>833.33333333333337</v>
      </c>
    </row>
    <row r="155" spans="2:8" ht="31.5" x14ac:dyDescent="0.25">
      <c r="B155" s="8" t="s">
        <v>546</v>
      </c>
      <c r="C155" s="8" t="s">
        <v>582</v>
      </c>
      <c r="D155" s="8" t="s">
        <v>574</v>
      </c>
      <c r="E155" s="8" t="s">
        <v>70</v>
      </c>
      <c r="F155" s="8">
        <v>1</v>
      </c>
      <c r="G155" s="44">
        <f>'ANÁLISE DOS PREÇOS COLETADOS'!AD218</f>
        <v>1250</v>
      </c>
      <c r="H155" s="44">
        <f t="shared" si="6"/>
        <v>1250</v>
      </c>
    </row>
    <row r="156" spans="2:8" ht="31.5" x14ac:dyDescent="0.25">
      <c r="B156" s="8" t="s">
        <v>547</v>
      </c>
      <c r="C156" s="8" t="s">
        <v>584</v>
      </c>
      <c r="D156" s="8" t="s">
        <v>574</v>
      </c>
      <c r="E156" s="8" t="s">
        <v>224</v>
      </c>
      <c r="F156" s="8">
        <v>1</v>
      </c>
      <c r="G156" s="44">
        <f>'ANÁLISE DOS PREÇOS COLETADOS'!AD219</f>
        <v>57.082499999999996</v>
      </c>
      <c r="H156" s="44">
        <f t="shared" si="6"/>
        <v>57.082499999999996</v>
      </c>
    </row>
    <row r="157" spans="2:8" ht="31.5" x14ac:dyDescent="0.25">
      <c r="B157" s="8" t="s">
        <v>549</v>
      </c>
      <c r="C157" s="8" t="s">
        <v>586</v>
      </c>
      <c r="D157" s="8" t="s">
        <v>574</v>
      </c>
      <c r="E157" s="8" t="s">
        <v>224</v>
      </c>
      <c r="F157" s="8">
        <v>1</v>
      </c>
      <c r="G157" s="44">
        <f>'ANÁLISE DOS PREÇOS COLETADOS'!AD220</f>
        <v>73.5</v>
      </c>
      <c r="H157" s="44">
        <f t="shared" si="6"/>
        <v>73.5</v>
      </c>
    </row>
    <row r="158" spans="2:8" ht="31.5" x14ac:dyDescent="0.25">
      <c r="B158" s="8" t="s">
        <v>552</v>
      </c>
      <c r="C158" s="8" t="s">
        <v>588</v>
      </c>
      <c r="D158" s="8" t="s">
        <v>589</v>
      </c>
      <c r="E158" s="8" t="s">
        <v>357</v>
      </c>
      <c r="F158" s="8">
        <v>40</v>
      </c>
      <c r="G158" s="44">
        <f>'ANÁLISE DOS PREÇOS COLETADOS'!AD221</f>
        <v>35</v>
      </c>
      <c r="H158" s="44">
        <f t="shared" si="6"/>
        <v>1400</v>
      </c>
    </row>
    <row r="159" spans="2:8" ht="31.5" x14ac:dyDescent="0.25">
      <c r="B159" s="8" t="s">
        <v>553</v>
      </c>
      <c r="C159" s="8" t="s">
        <v>373</v>
      </c>
      <c r="D159" s="8" t="s">
        <v>596</v>
      </c>
      <c r="E159" s="8" t="s">
        <v>70</v>
      </c>
      <c r="F159" s="8">
        <v>80</v>
      </c>
      <c r="G159" s="44">
        <f>'ANÁLISE DOS PREÇOS COLETADOS'!AD224</f>
        <v>30</v>
      </c>
      <c r="H159" s="44">
        <f t="shared" si="6"/>
        <v>2400</v>
      </c>
    </row>
    <row r="160" spans="2:8" ht="15.75" x14ac:dyDescent="0.25">
      <c r="B160" s="8" t="s">
        <v>556</v>
      </c>
      <c r="C160" s="8" t="s">
        <v>598</v>
      </c>
      <c r="D160" s="8" t="s">
        <v>599</v>
      </c>
      <c r="E160" s="8" t="s">
        <v>70</v>
      </c>
      <c r="F160" s="8">
        <v>2</v>
      </c>
      <c r="G160" s="44">
        <f>'ANÁLISE DOS PREÇOS COLETADOS'!AD225</f>
        <v>19.28</v>
      </c>
      <c r="H160" s="44">
        <f t="shared" si="6"/>
        <v>38.56</v>
      </c>
    </row>
    <row r="161" spans="2:8" ht="15.75" x14ac:dyDescent="0.25">
      <c r="B161" s="84" t="s">
        <v>403</v>
      </c>
      <c r="C161" s="84"/>
      <c r="D161" s="84"/>
      <c r="E161" s="84"/>
      <c r="F161" s="84"/>
      <c r="G161" s="118">
        <f>SUM(H113:H160)</f>
        <v>22287.177500000005</v>
      </c>
      <c r="H161" s="78"/>
    </row>
    <row r="162" spans="2:8" ht="15.75" customHeight="1" x14ac:dyDescent="0.25">
      <c r="B162" s="84" t="s">
        <v>375</v>
      </c>
      <c r="C162" s="84"/>
      <c r="D162" s="84"/>
      <c r="E162" s="84"/>
      <c r="F162" s="84"/>
      <c r="G162" s="84"/>
      <c r="H162" s="84"/>
    </row>
    <row r="163" spans="2:8" ht="45" x14ac:dyDescent="0.25">
      <c r="B163" s="11" t="s">
        <v>1</v>
      </c>
      <c r="C163" s="11" t="s">
        <v>2</v>
      </c>
      <c r="D163" s="11" t="s">
        <v>3</v>
      </c>
      <c r="E163" s="11" t="s">
        <v>396</v>
      </c>
      <c r="F163" s="11" t="s">
        <v>4</v>
      </c>
      <c r="G163" s="47" t="s">
        <v>759</v>
      </c>
      <c r="H163" s="47" t="s">
        <v>767</v>
      </c>
    </row>
    <row r="164" spans="2:8" ht="31.5" x14ac:dyDescent="0.25">
      <c r="B164" s="8" t="s">
        <v>376</v>
      </c>
      <c r="C164" s="8" t="s">
        <v>602</v>
      </c>
      <c r="D164" s="8" t="s">
        <v>730</v>
      </c>
      <c r="E164" s="8" t="s">
        <v>116</v>
      </c>
      <c r="F164" s="8">
        <v>1</v>
      </c>
      <c r="G164" s="44">
        <f>'ANÁLISE DOS PREÇOS COLETADOS'!AD233</f>
        <v>236.16</v>
      </c>
      <c r="H164" s="44">
        <f>G164*F164</f>
        <v>236.16</v>
      </c>
    </row>
    <row r="165" spans="2:8" ht="15.75" x14ac:dyDescent="0.25">
      <c r="B165" s="8" t="s">
        <v>379</v>
      </c>
      <c r="C165" s="8" t="s">
        <v>731</v>
      </c>
      <c r="D165" s="8" t="s">
        <v>732</v>
      </c>
      <c r="E165" s="8" t="s">
        <v>116</v>
      </c>
      <c r="F165" s="8">
        <v>6</v>
      </c>
      <c r="G165" s="44">
        <f>'ANÁLISE DOS PREÇOS COLETADOS'!AD243</f>
        <v>61.9</v>
      </c>
      <c r="H165" s="44">
        <f t="shared" ref="H165:H168" si="7">G165*F165</f>
        <v>371.4</v>
      </c>
    </row>
    <row r="166" spans="2:8" ht="31.5" x14ac:dyDescent="0.25">
      <c r="B166" s="8" t="s">
        <v>381</v>
      </c>
      <c r="C166" s="8" t="s">
        <v>611</v>
      </c>
      <c r="D166" s="8" t="s">
        <v>681</v>
      </c>
      <c r="E166" s="8" t="s">
        <v>802</v>
      </c>
      <c r="F166" s="8">
        <v>2</v>
      </c>
      <c r="G166" s="44">
        <f>'ANÁLISE DOS PREÇOS COLETADOS'!AD237</f>
        <v>250</v>
      </c>
      <c r="H166" s="44">
        <f t="shared" si="7"/>
        <v>500</v>
      </c>
    </row>
    <row r="167" spans="2:8" ht="47.25" x14ac:dyDescent="0.25">
      <c r="B167" s="8" t="s">
        <v>607</v>
      </c>
      <c r="C167" s="8" t="s">
        <v>733</v>
      </c>
      <c r="D167" s="8" t="s">
        <v>605</v>
      </c>
      <c r="E167" s="8" t="s">
        <v>606</v>
      </c>
      <c r="F167" s="8">
        <v>80</v>
      </c>
      <c r="G167" s="44">
        <f>'ANÁLISE DOS PREÇOS COLETADOS'!AD235</f>
        <v>74.5</v>
      </c>
      <c r="H167" s="44">
        <f t="shared" si="7"/>
        <v>5960</v>
      </c>
    </row>
    <row r="168" spans="2:8" ht="15.75" x14ac:dyDescent="0.25">
      <c r="B168" s="8" t="s">
        <v>610</v>
      </c>
      <c r="C168" s="8" t="s">
        <v>380</v>
      </c>
      <c r="D168" s="8" t="s">
        <v>404</v>
      </c>
      <c r="E168" s="8" t="s">
        <v>371</v>
      </c>
      <c r="F168" s="8">
        <v>2</v>
      </c>
      <c r="G168" s="44">
        <f>'ANÁLISE DOS PREÇOS COLETADOS'!AD238</f>
        <v>130</v>
      </c>
      <c r="H168" s="44">
        <f t="shared" si="7"/>
        <v>260</v>
      </c>
    </row>
    <row r="169" spans="2:8" ht="15.75" x14ac:dyDescent="0.25">
      <c r="B169" s="84" t="s">
        <v>405</v>
      </c>
      <c r="C169" s="84"/>
      <c r="D169" s="84"/>
      <c r="E169" s="84"/>
      <c r="F169" s="84"/>
      <c r="G169" s="118">
        <f>SUM(H164:H168)</f>
        <v>7327.5599999999995</v>
      </c>
      <c r="H169" s="78"/>
    </row>
    <row r="170" spans="2:8" ht="15.75" customHeight="1" x14ac:dyDescent="0.25">
      <c r="B170" s="84" t="s">
        <v>384</v>
      </c>
      <c r="C170" s="84"/>
      <c r="D170" s="84"/>
      <c r="E170" s="84"/>
      <c r="F170" s="84"/>
      <c r="G170" s="84"/>
      <c r="H170" s="84"/>
    </row>
    <row r="171" spans="2:8" ht="45" x14ac:dyDescent="0.25">
      <c r="B171" s="11" t="s">
        <v>1</v>
      </c>
      <c r="C171" s="11" t="s">
        <v>2</v>
      </c>
      <c r="D171" s="11" t="s">
        <v>3</v>
      </c>
      <c r="E171" s="11" t="s">
        <v>396</v>
      </c>
      <c r="F171" s="11" t="s">
        <v>4</v>
      </c>
      <c r="G171" s="47" t="s">
        <v>759</v>
      </c>
      <c r="H171" s="47" t="s">
        <v>767</v>
      </c>
    </row>
    <row r="172" spans="2:8" ht="15.75" x14ac:dyDescent="0.25">
      <c r="B172" s="8" t="s">
        <v>385</v>
      </c>
      <c r="C172" s="8" t="s">
        <v>616</v>
      </c>
      <c r="D172" s="8" t="s">
        <v>390</v>
      </c>
      <c r="E172" s="8" t="s">
        <v>70</v>
      </c>
      <c r="F172" s="8">
        <v>2</v>
      </c>
      <c r="G172" s="44">
        <f>'ANÁLISE DOS PREÇOS COLETADOS'!AD246</f>
        <v>5</v>
      </c>
      <c r="H172" s="44">
        <f>G172</f>
        <v>5</v>
      </c>
    </row>
    <row r="173" spans="2:8" ht="15.75" x14ac:dyDescent="0.25">
      <c r="B173" s="84" t="s">
        <v>406</v>
      </c>
      <c r="C173" s="84"/>
      <c r="D173" s="84"/>
      <c r="E173" s="84"/>
      <c r="F173" s="84"/>
      <c r="G173" s="80">
        <f>H172</f>
        <v>5</v>
      </c>
      <c r="H173" s="81"/>
    </row>
    <row r="174" spans="2:8" ht="15.75" customHeight="1" x14ac:dyDescent="0.25">
      <c r="B174" s="84" t="s">
        <v>391</v>
      </c>
      <c r="C174" s="84"/>
      <c r="D174" s="84"/>
      <c r="E174" s="84"/>
      <c r="F174" s="84"/>
      <c r="G174" s="48"/>
      <c r="H174" s="48"/>
    </row>
    <row r="175" spans="2:8" ht="45" x14ac:dyDescent="0.25">
      <c r="B175" s="11" t="s">
        <v>1</v>
      </c>
      <c r="C175" s="11" t="s">
        <v>2</v>
      </c>
      <c r="D175" s="11" t="s">
        <v>3</v>
      </c>
      <c r="E175" s="11" t="s">
        <v>396</v>
      </c>
      <c r="F175" s="11" t="s">
        <v>4</v>
      </c>
      <c r="G175" s="47" t="s">
        <v>759</v>
      </c>
      <c r="H175" s="47" t="s">
        <v>767</v>
      </c>
    </row>
    <row r="176" spans="2:8" ht="47.25" x14ac:dyDescent="0.25">
      <c r="B176" s="8" t="s">
        <v>392</v>
      </c>
      <c r="C176" s="8" t="s">
        <v>617</v>
      </c>
      <c r="D176" s="51" t="s">
        <v>618</v>
      </c>
      <c r="E176" s="8" t="s">
        <v>619</v>
      </c>
      <c r="F176" s="8">
        <v>1</v>
      </c>
      <c r="G176" s="44">
        <f>'ANÁLISE DOS PREÇOS COLETADOS'!AD251</f>
        <v>3200</v>
      </c>
      <c r="H176" s="44">
        <f>G176*F176</f>
        <v>3200</v>
      </c>
    </row>
    <row r="177" spans="2:8" ht="47.25" x14ac:dyDescent="0.25">
      <c r="B177" s="8" t="s">
        <v>620</v>
      </c>
      <c r="C177" s="8" t="s">
        <v>621</v>
      </c>
      <c r="D177" s="51" t="s">
        <v>618</v>
      </c>
      <c r="E177" s="8" t="s">
        <v>619</v>
      </c>
      <c r="F177" s="8">
        <v>1</v>
      </c>
      <c r="G177" s="44">
        <f>'ANÁLISE DOS PREÇOS COLETADOS'!AD252</f>
        <v>2100</v>
      </c>
      <c r="H177" s="44">
        <f t="shared" ref="H177:H180" si="8">G177*F177</f>
        <v>2100</v>
      </c>
    </row>
    <row r="178" spans="2:8" ht="47.25" x14ac:dyDescent="0.25">
      <c r="B178" s="8" t="s">
        <v>622</v>
      </c>
      <c r="C178" s="8" t="s">
        <v>623</v>
      </c>
      <c r="D178" s="51" t="s">
        <v>618</v>
      </c>
      <c r="E178" s="8" t="s">
        <v>619</v>
      </c>
      <c r="F178" s="8">
        <v>1</v>
      </c>
      <c r="G178" s="44">
        <f>'ANÁLISE DOS PREÇOS COLETADOS'!AD253</f>
        <v>2100</v>
      </c>
      <c r="H178" s="44">
        <f t="shared" si="8"/>
        <v>2100</v>
      </c>
    </row>
    <row r="179" spans="2:8" ht="47.25" x14ac:dyDescent="0.25">
      <c r="B179" s="8" t="s">
        <v>624</v>
      </c>
      <c r="C179" s="8" t="s">
        <v>625</v>
      </c>
      <c r="D179" s="51" t="s">
        <v>618</v>
      </c>
      <c r="E179" s="8" t="s">
        <v>619</v>
      </c>
      <c r="F179" s="8">
        <v>2</v>
      </c>
      <c r="G179" s="44">
        <f>'ANÁLISE DOS PREÇOS COLETADOS'!AD254</f>
        <v>520</v>
      </c>
      <c r="H179" s="44">
        <f t="shared" si="8"/>
        <v>1040</v>
      </c>
    </row>
    <row r="180" spans="2:8" ht="94.5" x14ac:dyDescent="0.25">
      <c r="B180" s="8" t="s">
        <v>626</v>
      </c>
      <c r="C180" s="8" t="s">
        <v>393</v>
      </c>
      <c r="D180" s="51" t="s">
        <v>627</v>
      </c>
      <c r="E180" s="8" t="s">
        <v>619</v>
      </c>
      <c r="F180" s="8">
        <v>1</v>
      </c>
      <c r="G180" s="44">
        <f>'ANÁLISE DOS PREÇOS COLETADOS'!AD256</f>
        <v>6400</v>
      </c>
      <c r="H180" s="44">
        <f t="shared" si="8"/>
        <v>6400</v>
      </c>
    </row>
    <row r="181" spans="2:8" ht="15.75" x14ac:dyDescent="0.25">
      <c r="B181" s="84" t="s">
        <v>407</v>
      </c>
      <c r="C181" s="84"/>
      <c r="D181" s="84"/>
      <c r="E181" s="84"/>
      <c r="F181" s="84"/>
      <c r="G181" s="118">
        <f>SUM(H176:H180)</f>
        <v>14840</v>
      </c>
      <c r="H181" s="78"/>
    </row>
    <row r="182" spans="2:8" ht="15.75" x14ac:dyDescent="0.25">
      <c r="B182" s="122"/>
      <c r="C182" s="122"/>
      <c r="D182" s="122"/>
      <c r="E182" s="122"/>
      <c r="F182" s="122"/>
      <c r="G182" s="122"/>
      <c r="H182" s="122"/>
    </row>
    <row r="183" spans="2:8" ht="15.75" customHeight="1" x14ac:dyDescent="0.25">
      <c r="B183" s="84" t="s">
        <v>768</v>
      </c>
      <c r="C183" s="84"/>
      <c r="D183" s="84"/>
      <c r="E183" s="84"/>
      <c r="F183" s="84"/>
      <c r="G183" s="118">
        <f>SUM(G9,G23,G82,G110,G161,G169,G173,G181)</f>
        <v>79757.506133333343</v>
      </c>
      <c r="H183" s="78"/>
    </row>
    <row r="184" spans="2:8" ht="15.75" x14ac:dyDescent="0.25">
      <c r="B184" s="84" t="s">
        <v>770</v>
      </c>
      <c r="C184" s="84"/>
      <c r="D184" s="84"/>
      <c r="E184" s="84"/>
      <c r="F184" s="84"/>
      <c r="G184" s="91">
        <v>9</v>
      </c>
      <c r="H184" s="91"/>
    </row>
    <row r="185" spans="2:8" ht="15.75" x14ac:dyDescent="0.25">
      <c r="B185" s="84" t="s">
        <v>771</v>
      </c>
      <c r="C185" s="84"/>
      <c r="D185" s="84"/>
      <c r="E185" s="84"/>
      <c r="F185" s="84"/>
      <c r="G185" s="118">
        <f>G183*G184</f>
        <v>717817.55520000006</v>
      </c>
      <c r="H185" s="78"/>
    </row>
  </sheetData>
  <mergeCells count="46">
    <mergeCell ref="B24:H24"/>
    <mergeCell ref="B9:F9"/>
    <mergeCell ref="B16:F16"/>
    <mergeCell ref="B23:F23"/>
    <mergeCell ref="B174:F174"/>
    <mergeCell ref="B87:B95"/>
    <mergeCell ref="C87:C95"/>
    <mergeCell ref="E87:E95"/>
    <mergeCell ref="F87:F95"/>
    <mergeCell ref="B57:B59"/>
    <mergeCell ref="B173:F173"/>
    <mergeCell ref="B110:F110"/>
    <mergeCell ref="B161:F161"/>
    <mergeCell ref="B169:F169"/>
    <mergeCell ref="B82:F82"/>
    <mergeCell ref="G87:G95"/>
    <mergeCell ref="H87:H95"/>
    <mergeCell ref="G82:H82"/>
    <mergeCell ref="B83:H83"/>
    <mergeCell ref="G57:G59"/>
    <mergeCell ref="H57:H59"/>
    <mergeCell ref="C57:C59"/>
    <mergeCell ref="E57:E59"/>
    <mergeCell ref="F57:F59"/>
    <mergeCell ref="B10:H10"/>
    <mergeCell ref="G16:H16"/>
    <mergeCell ref="B17:H17"/>
    <mergeCell ref="G23:H23"/>
    <mergeCell ref="B2:H2"/>
    <mergeCell ref="G9:H9"/>
    <mergeCell ref="B111:H111"/>
    <mergeCell ref="G110:H110"/>
    <mergeCell ref="G161:H161"/>
    <mergeCell ref="B162:H162"/>
    <mergeCell ref="G169:H169"/>
    <mergeCell ref="B170:H170"/>
    <mergeCell ref="G181:H181"/>
    <mergeCell ref="G183:H183"/>
    <mergeCell ref="G184:H184"/>
    <mergeCell ref="G185:H185"/>
    <mergeCell ref="B182:H182"/>
    <mergeCell ref="G173:H173"/>
    <mergeCell ref="B184:F184"/>
    <mergeCell ref="B185:F185"/>
    <mergeCell ref="B181:F181"/>
    <mergeCell ref="B183:F183"/>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8CC87-78E3-46E9-97BD-06677B8F38EE}">
  <dimension ref="B1:AR257"/>
  <sheetViews>
    <sheetView topLeftCell="R1" zoomScale="95" zoomScaleNormal="95" workbookViewId="0">
      <pane ySplit="1" topLeftCell="A224" activePane="bottomLeft" state="frozen"/>
      <selection activeCell="H1" sqref="H1"/>
      <selection pane="bottomLeft" activeCell="R237" sqref="R237"/>
    </sheetView>
  </sheetViews>
  <sheetFormatPr defaultRowHeight="15" x14ac:dyDescent="0.25"/>
  <cols>
    <col min="2" max="2" width="33.5703125" customWidth="1"/>
    <col min="3" max="3" width="37.7109375" customWidth="1"/>
    <col min="4" max="4" width="25.28515625" customWidth="1"/>
    <col min="5" max="5" width="22" customWidth="1"/>
    <col min="6" max="7" width="17.42578125" customWidth="1"/>
    <col min="8" max="8" width="16" customWidth="1"/>
    <col min="9" max="10" width="18.85546875" customWidth="1"/>
    <col min="11" max="11" width="17.5703125" customWidth="1"/>
    <col min="12" max="12" width="17" customWidth="1"/>
    <col min="13" max="13" width="17.85546875" customWidth="1"/>
    <col min="14" max="14" width="16.5703125" customWidth="1"/>
    <col min="15" max="15" width="16" customWidth="1"/>
    <col min="16" max="16" width="17.28515625" customWidth="1"/>
    <col min="17" max="17" width="20.7109375" customWidth="1"/>
    <col min="18" max="18" width="18.5703125" customWidth="1"/>
    <col min="19" max="27" width="18" customWidth="1"/>
    <col min="28" max="29" width="20.7109375" customWidth="1"/>
    <col min="30" max="30" width="21.42578125" customWidth="1"/>
    <col min="31" max="31" width="22" customWidth="1"/>
    <col min="32" max="32" width="22.28515625" customWidth="1"/>
    <col min="33" max="33" width="21.28515625" customWidth="1"/>
    <col min="34" max="34" width="22.28515625" customWidth="1"/>
    <col min="35" max="35" width="22.7109375" customWidth="1"/>
    <col min="36" max="36" width="22.5703125" customWidth="1"/>
    <col min="37" max="37" width="22" customWidth="1"/>
    <col min="38" max="38" width="21.85546875" customWidth="1"/>
    <col min="39" max="39" width="18.7109375" customWidth="1"/>
  </cols>
  <sheetData>
    <row r="1" spans="2:44" ht="108" customHeight="1" x14ac:dyDescent="0.25">
      <c r="B1" s="191" t="s">
        <v>755</v>
      </c>
      <c r="C1" s="191"/>
      <c r="D1" s="191"/>
      <c r="E1" s="192" t="s">
        <v>738</v>
      </c>
      <c r="F1" s="78" t="s">
        <v>739</v>
      </c>
      <c r="G1" s="192" t="s">
        <v>740</v>
      </c>
      <c r="H1" s="192" t="s">
        <v>741</v>
      </c>
      <c r="I1" s="193" t="s">
        <v>746</v>
      </c>
      <c r="J1" s="192" t="s">
        <v>742</v>
      </c>
      <c r="K1" s="78" t="s">
        <v>743</v>
      </c>
      <c r="L1" s="184" t="s">
        <v>744</v>
      </c>
      <c r="M1" s="184" t="s">
        <v>745</v>
      </c>
      <c r="N1" s="78" t="s">
        <v>747</v>
      </c>
      <c r="O1" s="78" t="s">
        <v>748</v>
      </c>
      <c r="P1" s="78" t="s">
        <v>749</v>
      </c>
      <c r="Q1" s="78" t="s">
        <v>756</v>
      </c>
      <c r="R1" s="78" t="s">
        <v>751</v>
      </c>
      <c r="S1" s="184" t="s">
        <v>750</v>
      </c>
      <c r="T1" s="173" t="s">
        <v>758</v>
      </c>
      <c r="U1" s="182" t="s">
        <v>783</v>
      </c>
      <c r="V1" s="182" t="s">
        <v>784</v>
      </c>
      <c r="W1" s="183" t="s">
        <v>785</v>
      </c>
      <c r="X1" s="183" t="s">
        <v>786</v>
      </c>
      <c r="Y1" s="170" t="s">
        <v>787</v>
      </c>
      <c r="Z1" s="170" t="s">
        <v>788</v>
      </c>
      <c r="AA1" s="170" t="s">
        <v>789</v>
      </c>
      <c r="AB1" s="170" t="s">
        <v>790</v>
      </c>
      <c r="AC1" s="170" t="s">
        <v>791</v>
      </c>
      <c r="AD1" s="179" t="s">
        <v>757</v>
      </c>
    </row>
    <row r="2" spans="2:44" ht="15" customHeight="1" x14ac:dyDescent="0.25">
      <c r="B2" s="191"/>
      <c r="C2" s="191"/>
      <c r="D2" s="191"/>
      <c r="E2" s="192"/>
      <c r="F2" s="78"/>
      <c r="G2" s="192"/>
      <c r="H2" s="192"/>
      <c r="I2" s="193"/>
      <c r="J2" s="192"/>
      <c r="K2" s="78"/>
      <c r="L2" s="184"/>
      <c r="M2" s="184"/>
      <c r="N2" s="78"/>
      <c r="O2" s="78"/>
      <c r="P2" s="78"/>
      <c r="Q2" s="78"/>
      <c r="R2" s="78"/>
      <c r="S2" s="184"/>
      <c r="T2" s="173"/>
      <c r="U2" s="182"/>
      <c r="V2" s="182"/>
      <c r="W2" s="183"/>
      <c r="X2" s="183"/>
      <c r="Y2" s="170"/>
      <c r="Z2" s="170"/>
      <c r="AA2" s="170"/>
      <c r="AB2" s="170"/>
      <c r="AC2" s="170"/>
      <c r="AD2" s="179"/>
    </row>
    <row r="3" spans="2:44" ht="31.5" x14ac:dyDescent="0.25">
      <c r="B3" s="13" t="s">
        <v>779</v>
      </c>
      <c r="C3" s="13" t="s">
        <v>6</v>
      </c>
      <c r="D3" s="13" t="s">
        <v>7</v>
      </c>
      <c r="E3" s="18"/>
      <c r="F3" s="18"/>
      <c r="G3" s="18"/>
      <c r="H3" s="18"/>
      <c r="I3" s="18"/>
      <c r="J3" s="18"/>
      <c r="K3" s="18"/>
      <c r="L3" s="18"/>
      <c r="M3" s="18"/>
      <c r="N3" s="18"/>
      <c r="O3" s="18"/>
      <c r="P3" s="18"/>
      <c r="Q3" s="72">
        <v>161</v>
      </c>
      <c r="R3" s="28"/>
      <c r="S3" s="19">
        <f>(202*1/100)+(202)</f>
        <v>204.02</v>
      </c>
      <c r="T3" s="19">
        <v>208</v>
      </c>
      <c r="U3" s="67">
        <f>AVERAGE(Q3,S3:T3)</f>
        <v>191.00666666666666</v>
      </c>
      <c r="V3" s="67">
        <f>_xlfn.STDEV.P(Q3,S3:T3)</f>
        <v>21.280039682502625</v>
      </c>
      <c r="W3" s="68">
        <f t="shared" ref="W3" si="0">U3-V3</f>
        <v>169.72662698416403</v>
      </c>
      <c r="X3" s="68">
        <f t="shared" ref="X3" si="1">U3+V3</f>
        <v>212.28670634916929</v>
      </c>
      <c r="Y3" s="69">
        <f>AVERAGE(S3,T3)</f>
        <v>206.01</v>
      </c>
      <c r="Z3" s="69">
        <f>MEDIAN(S3,T3)</f>
        <v>206.01</v>
      </c>
      <c r="AA3" s="70">
        <f>_xlfn.STDEV.P(S3,T3)</f>
        <v>1.9899999999999949</v>
      </c>
      <c r="AB3" s="71">
        <f t="shared" ref="AB3" si="2">AA3/Y3</f>
        <v>9.6597252560555076E-3</v>
      </c>
      <c r="AC3" s="70" t="str">
        <f t="shared" ref="AC3" si="3">IF(AB3&lt;25%,"Média",IF(AB3&gt;=25%,"Mediana"))</f>
        <v>Média</v>
      </c>
      <c r="AD3" s="44">
        <f>Y3</f>
        <v>206.01</v>
      </c>
    </row>
    <row r="4" spans="2:44" ht="15.75" x14ac:dyDescent="0.25">
      <c r="B4" s="31"/>
      <c r="C4" s="31"/>
      <c r="D4" s="31"/>
      <c r="E4" s="32"/>
      <c r="F4" s="32"/>
      <c r="G4" s="32"/>
      <c r="H4" s="32"/>
      <c r="I4" s="32"/>
      <c r="J4" s="32"/>
      <c r="K4" s="32"/>
      <c r="L4" s="32"/>
      <c r="M4" s="32"/>
      <c r="N4" s="32"/>
      <c r="O4" s="32"/>
      <c r="P4" s="32"/>
      <c r="Q4" s="32"/>
      <c r="R4" s="32"/>
      <c r="S4" s="32"/>
      <c r="T4" s="32"/>
      <c r="U4" s="32"/>
      <c r="V4" s="32"/>
      <c r="W4" s="32"/>
      <c r="X4" s="32"/>
      <c r="Y4" s="32"/>
      <c r="Z4" s="32"/>
      <c r="AA4" s="32"/>
      <c r="AB4" s="32"/>
      <c r="AC4" s="32"/>
      <c r="AD4" s="32"/>
    </row>
    <row r="5" spans="2:44" ht="31.5" x14ac:dyDescent="0.25">
      <c r="B5" s="8" t="s">
        <v>10</v>
      </c>
      <c r="C5" s="8" t="s">
        <v>11</v>
      </c>
      <c r="D5" s="8" t="s">
        <v>12</v>
      </c>
      <c r="E5" s="15"/>
      <c r="F5" s="15"/>
      <c r="G5" s="72">
        <v>2.2000000000000002</v>
      </c>
      <c r="H5" s="18"/>
      <c r="I5" s="72">
        <v>4.5</v>
      </c>
      <c r="J5" s="18"/>
      <c r="K5" s="18"/>
      <c r="L5" s="18"/>
      <c r="M5" s="18"/>
      <c r="N5" s="18"/>
      <c r="O5" s="22"/>
      <c r="P5" s="19">
        <v>2.9</v>
      </c>
      <c r="Q5" s="19">
        <v>3.52</v>
      </c>
      <c r="R5" s="18"/>
      <c r="S5" s="18"/>
      <c r="T5" s="18"/>
      <c r="U5" s="67">
        <f>AVERAGE(G5,I5,P5:Q5)</f>
        <v>3.28</v>
      </c>
      <c r="V5" s="67">
        <f>_xlfn.STDEV.P(G5,I5,P5:Q5)</f>
        <v>0.84510354395186493</v>
      </c>
      <c r="W5" s="68">
        <f t="shared" ref="W5" si="4">U5-V5</f>
        <v>2.434896456048135</v>
      </c>
      <c r="X5" s="68">
        <f t="shared" ref="X5" si="5">U5+V5</f>
        <v>4.1251035439518651</v>
      </c>
      <c r="Y5" s="69">
        <f>AVERAGE(P5:Q5)</f>
        <v>3.21</v>
      </c>
      <c r="Z5" s="69">
        <f>MEDIAN(P5:Q5)</f>
        <v>3.21</v>
      </c>
      <c r="AA5" s="70">
        <f>_xlfn.STDEV.P(P5:Q5)</f>
        <v>0.31000000000000005</v>
      </c>
      <c r="AB5" s="71">
        <f t="shared" ref="AB5" si="6">AA5/Y5</f>
        <v>9.6573208722741458E-2</v>
      </c>
      <c r="AC5" s="70" t="str">
        <f t="shared" ref="AC5" si="7">IF(AB5&lt;25%,"Média",IF(AB5&gt;=25%,"Mediana"))</f>
        <v>Média</v>
      </c>
      <c r="AD5" s="19">
        <f>Y5</f>
        <v>3.21</v>
      </c>
    </row>
    <row r="6" spans="2:44" ht="31.5" x14ac:dyDescent="0.25">
      <c r="B6" s="8" t="s">
        <v>408</v>
      </c>
      <c r="C6" s="8" t="s">
        <v>409</v>
      </c>
      <c r="D6" s="8" t="s">
        <v>12</v>
      </c>
      <c r="E6" s="18"/>
      <c r="F6" s="19">
        <v>2.2000000000000002</v>
      </c>
      <c r="G6" s="19">
        <v>2.2000000000000002</v>
      </c>
      <c r="H6" s="16">
        <v>2</v>
      </c>
      <c r="I6" s="22"/>
      <c r="J6" s="18"/>
      <c r="K6" s="18"/>
      <c r="L6" s="18"/>
      <c r="M6" s="72">
        <v>5</v>
      </c>
      <c r="N6" s="22"/>
      <c r="O6" s="22"/>
      <c r="P6" s="18"/>
      <c r="Q6" s="18"/>
      <c r="R6" s="18"/>
      <c r="S6" s="18"/>
      <c r="T6" s="18"/>
      <c r="U6" s="67">
        <f>AVERAGE(F6:H6,M6)</f>
        <v>2.85</v>
      </c>
      <c r="V6" s="67">
        <f>_xlfn.STDEV.P(F6:H6,M6)</f>
        <v>1.2439855304624727</v>
      </c>
      <c r="W6" s="68">
        <f t="shared" ref="W6" si="8">U6-V6</f>
        <v>1.6060144695375274</v>
      </c>
      <c r="X6" s="68">
        <f t="shared" ref="X6" si="9">U6+V6</f>
        <v>4.093985530462473</v>
      </c>
      <c r="Y6" s="69">
        <f>AVERAGE(F6:H6)</f>
        <v>2.1333333333333333</v>
      </c>
      <c r="Z6" s="69">
        <f>MEDIAN(F6:H6)</f>
        <v>2.2000000000000002</v>
      </c>
      <c r="AA6" s="70">
        <f>_xlfn.STDEV.P(F6:H6)</f>
        <v>9.4280904158206419E-2</v>
      </c>
      <c r="AB6" s="71">
        <f t="shared" ref="AB6" si="10">AA6/Y6</f>
        <v>4.4194173824159258E-2</v>
      </c>
      <c r="AC6" s="70" t="str">
        <f t="shared" ref="AC6" si="11">IF(AB6&lt;25%,"Média",IF(AB6&gt;=25%,"Mediana"))</f>
        <v>Média</v>
      </c>
      <c r="AD6" s="19">
        <f>AVERAGE(F6:H6)</f>
        <v>2.1333333333333333</v>
      </c>
    </row>
    <row r="7" spans="2:44" ht="78.75" x14ac:dyDescent="0.25">
      <c r="B7" s="8" t="s">
        <v>14</v>
      </c>
      <c r="C7" s="8" t="s">
        <v>15</v>
      </c>
      <c r="D7" s="8" t="s">
        <v>12</v>
      </c>
      <c r="E7" s="18"/>
      <c r="F7" s="18"/>
      <c r="G7" s="18"/>
      <c r="H7" s="18"/>
      <c r="I7" s="18"/>
      <c r="J7" s="18"/>
      <c r="K7" s="18"/>
      <c r="L7" s="16">
        <v>20</v>
      </c>
      <c r="M7" s="72">
        <v>30</v>
      </c>
      <c r="N7" s="22"/>
      <c r="O7" s="22"/>
      <c r="P7" s="72">
        <v>18</v>
      </c>
      <c r="Q7" s="18"/>
      <c r="R7" s="25">
        <v>25</v>
      </c>
      <c r="S7" s="18"/>
      <c r="T7" s="18"/>
      <c r="U7" s="67">
        <f>AVERAGE(L7:M7,P7,R7)</f>
        <v>23.25</v>
      </c>
      <c r="V7" s="67">
        <f>_xlfn.STDEV.P(L7:M7,P7,R7)</f>
        <v>4.6569840025492892</v>
      </c>
      <c r="W7" s="68">
        <f t="shared" ref="W7" si="12">U7-V7</f>
        <v>18.59301599745071</v>
      </c>
      <c r="X7" s="68">
        <f t="shared" ref="X7" si="13">U7+V7</f>
        <v>27.90698400254929</v>
      </c>
      <c r="Y7" s="69">
        <f>AVERAGE(L7,R7)</f>
        <v>22.5</v>
      </c>
      <c r="Z7" s="69">
        <f>MEDIAN(L7,R7)</f>
        <v>22.5</v>
      </c>
      <c r="AA7" s="70">
        <f>_xlfn.STDEV.P(L7,R7)</f>
        <v>2.5</v>
      </c>
      <c r="AB7" s="71">
        <f t="shared" ref="AB7" si="14">AA7/Y7</f>
        <v>0.1111111111111111</v>
      </c>
      <c r="AC7" s="70" t="str">
        <f t="shared" ref="AC7" si="15">IF(AB7&lt;25%,"Média",IF(AB7&gt;=25%,"Mediana"))</f>
        <v>Média</v>
      </c>
      <c r="AD7" s="19">
        <f>Y7</f>
        <v>22.5</v>
      </c>
    </row>
    <row r="8" spans="2:44" ht="126" x14ac:dyDescent="0.25">
      <c r="B8" s="8" t="s">
        <v>410</v>
      </c>
      <c r="C8" s="8" t="s">
        <v>411</v>
      </c>
      <c r="D8" s="8" t="s">
        <v>19</v>
      </c>
      <c r="E8" s="18"/>
      <c r="F8" s="18"/>
      <c r="G8" s="18"/>
      <c r="H8" s="18"/>
      <c r="I8" s="18"/>
      <c r="J8" s="18"/>
      <c r="K8" s="18"/>
      <c r="L8" s="18"/>
      <c r="M8" s="19">
        <v>40</v>
      </c>
      <c r="N8" s="72">
        <v>23</v>
      </c>
      <c r="O8" s="19">
        <v>29.64</v>
      </c>
      <c r="P8" s="18"/>
      <c r="Q8" s="18"/>
      <c r="R8" s="18"/>
      <c r="S8" s="72">
        <f>(55.55*1/100)+(55.55)</f>
        <v>56.105499999999999</v>
      </c>
      <c r="T8" s="16">
        <v>38.01</v>
      </c>
      <c r="U8" s="67">
        <f>AVERAGE(M8:O8,S8:T8)</f>
        <v>37.351099999999995</v>
      </c>
      <c r="V8" s="67">
        <f>_xlfn.STDEV.P(M8:O8,S8:T8)</f>
        <v>11.176703218749267</v>
      </c>
      <c r="W8" s="68">
        <f t="shared" ref="W8" si="16">U8-V8</f>
        <v>26.174396781250728</v>
      </c>
      <c r="X8" s="68">
        <f t="shared" ref="X8" si="17">U8+V8</f>
        <v>48.527803218749263</v>
      </c>
      <c r="Y8" s="69">
        <f>AVERAGE(M8,O8,T8)</f>
        <v>35.883333333333333</v>
      </c>
      <c r="Z8" s="69">
        <f>MEDIAN(M8,O8,T8)</f>
        <v>38.01</v>
      </c>
      <c r="AA8" s="70">
        <f>_xlfn.STDEV.P(M8,O8,T8)</f>
        <v>4.488833057958594</v>
      </c>
      <c r="AB8" s="71">
        <f t="shared" ref="AB8" si="18">AA8/Y8</f>
        <v>0.12509520830353724</v>
      </c>
      <c r="AC8" s="70" t="str">
        <f t="shared" ref="AC8" si="19">IF(AB8&lt;25%,"Média",IF(AB8&gt;=25%,"Mediana"))</f>
        <v>Média</v>
      </c>
      <c r="AD8" s="44">
        <f>Y8</f>
        <v>35.883333333333333</v>
      </c>
    </row>
    <row r="9" spans="2:44" ht="31.5" x14ac:dyDescent="0.25">
      <c r="B9" s="122" t="s">
        <v>412</v>
      </c>
      <c r="C9" s="8" t="s">
        <v>754</v>
      </c>
      <c r="D9" s="122" t="s">
        <v>19</v>
      </c>
      <c r="E9" s="174"/>
      <c r="F9" s="185"/>
      <c r="G9" s="186">
        <v>95</v>
      </c>
      <c r="H9" s="185"/>
      <c r="I9" s="181">
        <v>22</v>
      </c>
      <c r="J9" s="185"/>
      <c r="K9" s="181">
        <v>22</v>
      </c>
      <c r="L9" s="185"/>
      <c r="M9" s="180">
        <v>30</v>
      </c>
      <c r="N9" s="181">
        <v>20</v>
      </c>
      <c r="O9" s="180">
        <v>16</v>
      </c>
      <c r="P9" s="181">
        <v>19</v>
      </c>
      <c r="Q9" s="174"/>
      <c r="R9" s="187">
        <v>22</v>
      </c>
      <c r="S9" s="188">
        <f>(27.78*1/100)+(27.78)</f>
        <v>28.0578</v>
      </c>
      <c r="T9" s="175"/>
      <c r="U9" s="134">
        <f>AVERAGE(I9,K9,M9:P11,R9:S11)</f>
        <v>21.816112499999999</v>
      </c>
      <c r="V9" s="134">
        <f>_xlfn.STDEV.P(I9,K9,M9:P11,R9:S11)</f>
        <v>4.8422354537799777</v>
      </c>
      <c r="W9" s="137">
        <f t="shared" ref="W9" si="20">U9-V9</f>
        <v>16.973877046220021</v>
      </c>
      <c r="X9" s="137">
        <f t="shared" ref="X9" si="21">U9+V9</f>
        <v>26.658347953779977</v>
      </c>
      <c r="Y9" s="140">
        <f>AVERAGE(I9,K9,N9,P9,R9)</f>
        <v>21</v>
      </c>
      <c r="Z9" s="140">
        <f>MEDIAN(I9,K9,N9,P9,R9)</f>
        <v>22</v>
      </c>
      <c r="AA9" s="143">
        <f>_xlfn.STDEV.P(I9,K9,N9,P9,R9)</f>
        <v>1.2649110640673518</v>
      </c>
      <c r="AB9" s="146">
        <f t="shared" ref="AB9" si="22">AA9/Y9</f>
        <v>6.0233860193683417E-2</v>
      </c>
      <c r="AC9" s="143" t="str">
        <f t="shared" ref="AC9" si="23">IF(AB9&lt;25%,"Média",IF(AB9&gt;=25%,"Mediana"))</f>
        <v>Média</v>
      </c>
      <c r="AD9" s="178">
        <f>Y9</f>
        <v>21</v>
      </c>
      <c r="AE9" s="172"/>
      <c r="AF9" s="123"/>
      <c r="AG9" s="123"/>
      <c r="AH9" s="123"/>
      <c r="AI9" s="123"/>
      <c r="AJ9" s="123"/>
      <c r="AK9" s="123"/>
      <c r="AL9" s="123"/>
      <c r="AM9" s="123"/>
      <c r="AN9" s="123"/>
      <c r="AO9" s="123"/>
    </row>
    <row r="10" spans="2:44" ht="31.5" x14ac:dyDescent="0.25">
      <c r="B10" s="122"/>
      <c r="C10" s="8" t="s">
        <v>753</v>
      </c>
      <c r="D10" s="122"/>
      <c r="E10" s="174"/>
      <c r="F10" s="185"/>
      <c r="G10" s="186">
        <v>95</v>
      </c>
      <c r="H10" s="185"/>
      <c r="I10" s="181">
        <v>22</v>
      </c>
      <c r="J10" s="185"/>
      <c r="K10" s="181">
        <v>22</v>
      </c>
      <c r="L10" s="185"/>
      <c r="M10" s="180">
        <v>30</v>
      </c>
      <c r="N10" s="181">
        <v>20</v>
      </c>
      <c r="O10" s="180">
        <v>16</v>
      </c>
      <c r="P10" s="181">
        <v>19</v>
      </c>
      <c r="Q10" s="174"/>
      <c r="R10" s="187"/>
      <c r="S10" s="189"/>
      <c r="T10" s="176"/>
      <c r="U10" s="135"/>
      <c r="V10" s="135"/>
      <c r="W10" s="138"/>
      <c r="X10" s="138"/>
      <c r="Y10" s="141"/>
      <c r="Z10" s="141"/>
      <c r="AA10" s="144"/>
      <c r="AB10" s="147"/>
      <c r="AC10" s="144"/>
      <c r="AD10" s="178"/>
      <c r="AE10" s="172"/>
      <c r="AF10" s="123"/>
      <c r="AG10" s="123"/>
      <c r="AH10" s="123"/>
      <c r="AI10" s="123"/>
      <c r="AJ10" s="123"/>
      <c r="AK10" s="123"/>
      <c r="AL10" s="123"/>
      <c r="AM10" s="123"/>
      <c r="AN10" s="123"/>
      <c r="AO10" s="123"/>
      <c r="AP10" s="123"/>
    </row>
    <row r="11" spans="2:44" ht="409.5" x14ac:dyDescent="0.25">
      <c r="B11" s="122"/>
      <c r="C11" s="8" t="s">
        <v>688</v>
      </c>
      <c r="D11" s="122"/>
      <c r="E11" s="174"/>
      <c r="F11" s="185"/>
      <c r="G11" s="186">
        <v>95</v>
      </c>
      <c r="H11" s="185"/>
      <c r="I11" s="181">
        <v>22</v>
      </c>
      <c r="J11" s="185"/>
      <c r="K11" s="181">
        <v>22</v>
      </c>
      <c r="L11" s="185"/>
      <c r="M11" s="180">
        <v>30</v>
      </c>
      <c r="N11" s="181">
        <v>20</v>
      </c>
      <c r="O11" s="180">
        <v>16</v>
      </c>
      <c r="P11" s="181">
        <v>19</v>
      </c>
      <c r="Q11" s="174"/>
      <c r="R11" s="187"/>
      <c r="S11" s="190"/>
      <c r="T11" s="177"/>
      <c r="U11" s="136"/>
      <c r="V11" s="136"/>
      <c r="W11" s="139"/>
      <c r="X11" s="139"/>
      <c r="Y11" s="142"/>
      <c r="Z11" s="142"/>
      <c r="AA11" s="145"/>
      <c r="AB11" s="148"/>
      <c r="AC11" s="145"/>
      <c r="AD11" s="178"/>
      <c r="AE11" s="172"/>
      <c r="AF11" s="123"/>
      <c r="AG11" s="123"/>
      <c r="AH11" s="123"/>
      <c r="AI11" s="123"/>
      <c r="AJ11" s="123"/>
      <c r="AK11" s="123"/>
      <c r="AL11" s="123"/>
      <c r="AM11" s="123"/>
      <c r="AN11" s="123"/>
      <c r="AO11" s="123"/>
      <c r="AP11" s="123"/>
    </row>
    <row r="12" spans="2:44" ht="63" x14ac:dyDescent="0.25">
      <c r="B12" s="122" t="s">
        <v>28</v>
      </c>
      <c r="C12" s="8" t="s">
        <v>29</v>
      </c>
      <c r="D12" s="122" t="s">
        <v>19</v>
      </c>
      <c r="E12" s="174"/>
      <c r="F12" s="174"/>
      <c r="G12" s="181">
        <v>18</v>
      </c>
      <c r="H12" s="174"/>
      <c r="I12" s="174"/>
      <c r="J12" s="174"/>
      <c r="K12" s="174"/>
      <c r="L12" s="174"/>
      <c r="M12" s="174"/>
      <c r="N12" s="174"/>
      <c r="O12" s="174"/>
      <c r="P12" s="174"/>
      <c r="Q12" s="181">
        <v>18</v>
      </c>
      <c r="R12" s="174"/>
      <c r="S12" s="174"/>
      <c r="T12" s="174"/>
      <c r="U12" s="161" t="s">
        <v>793</v>
      </c>
      <c r="V12" s="162"/>
      <c r="W12" s="162"/>
      <c r="X12" s="162"/>
      <c r="Y12" s="162"/>
      <c r="Z12" s="162"/>
      <c r="AA12" s="162"/>
      <c r="AB12" s="162"/>
      <c r="AC12" s="163"/>
      <c r="AD12" s="181">
        <f>Q12</f>
        <v>18</v>
      </c>
      <c r="AE12" s="171"/>
      <c r="AF12" s="123"/>
      <c r="AG12" s="123"/>
      <c r="AH12" s="123"/>
      <c r="AI12" s="123"/>
      <c r="AJ12" s="123"/>
      <c r="AK12" s="123"/>
      <c r="AL12" s="123"/>
      <c r="AM12" s="123"/>
      <c r="AN12" s="123"/>
      <c r="AO12" s="123"/>
      <c r="AP12" s="123"/>
      <c r="AQ12" s="123"/>
      <c r="AR12" s="123"/>
    </row>
    <row r="13" spans="2:44" ht="63" x14ac:dyDescent="0.25">
      <c r="B13" s="122"/>
      <c r="C13" s="8" t="s">
        <v>30</v>
      </c>
      <c r="D13" s="122"/>
      <c r="E13" s="174"/>
      <c r="F13" s="174"/>
      <c r="G13" s="181"/>
      <c r="H13" s="174"/>
      <c r="I13" s="174"/>
      <c r="J13" s="174"/>
      <c r="K13" s="174"/>
      <c r="L13" s="174"/>
      <c r="M13" s="174"/>
      <c r="N13" s="174"/>
      <c r="O13" s="174"/>
      <c r="P13" s="174"/>
      <c r="Q13" s="181"/>
      <c r="R13" s="174"/>
      <c r="S13" s="174"/>
      <c r="T13" s="174"/>
      <c r="U13" s="164"/>
      <c r="V13" s="165"/>
      <c r="W13" s="165"/>
      <c r="X13" s="165"/>
      <c r="Y13" s="165"/>
      <c r="Z13" s="165"/>
      <c r="AA13" s="165"/>
      <c r="AB13" s="165"/>
      <c r="AC13" s="166"/>
      <c r="AD13" s="181"/>
      <c r="AE13" s="171"/>
      <c r="AF13" s="123"/>
      <c r="AG13" s="123"/>
      <c r="AH13" s="123"/>
      <c r="AI13" s="123"/>
      <c r="AJ13" s="123"/>
      <c r="AK13" s="123"/>
      <c r="AL13" s="123"/>
      <c r="AM13" s="123"/>
      <c r="AN13" s="123"/>
      <c r="AO13" s="123"/>
      <c r="AP13" s="123"/>
      <c r="AQ13" s="123"/>
      <c r="AR13" s="123"/>
    </row>
    <row r="14" spans="2:44" ht="47.25" x14ac:dyDescent="0.25">
      <c r="B14" s="122"/>
      <c r="C14" s="8" t="s">
        <v>31</v>
      </c>
      <c r="D14" s="122"/>
      <c r="E14" s="174"/>
      <c r="F14" s="174"/>
      <c r="G14" s="181"/>
      <c r="H14" s="174"/>
      <c r="I14" s="174"/>
      <c r="J14" s="174"/>
      <c r="K14" s="174"/>
      <c r="L14" s="174"/>
      <c r="M14" s="174"/>
      <c r="N14" s="174"/>
      <c r="O14" s="174"/>
      <c r="P14" s="174"/>
      <c r="Q14" s="181"/>
      <c r="R14" s="174"/>
      <c r="S14" s="174"/>
      <c r="T14" s="174"/>
      <c r="U14" s="164"/>
      <c r="V14" s="165"/>
      <c r="W14" s="165"/>
      <c r="X14" s="165"/>
      <c r="Y14" s="165"/>
      <c r="Z14" s="165"/>
      <c r="AA14" s="165"/>
      <c r="AB14" s="165"/>
      <c r="AC14" s="166"/>
      <c r="AD14" s="181"/>
      <c r="AE14" s="171"/>
      <c r="AF14" s="123"/>
      <c r="AG14" s="123"/>
      <c r="AH14" s="123"/>
      <c r="AI14" s="123"/>
      <c r="AJ14" s="123"/>
      <c r="AK14" s="123"/>
      <c r="AL14" s="123"/>
      <c r="AM14" s="123"/>
      <c r="AN14" s="123"/>
      <c r="AO14" s="123"/>
      <c r="AP14" s="123"/>
      <c r="AQ14" s="123"/>
      <c r="AR14" s="123"/>
    </row>
    <row r="15" spans="2:44" ht="15.75" x14ac:dyDescent="0.25">
      <c r="B15" s="122"/>
      <c r="C15" s="8" t="s">
        <v>32</v>
      </c>
      <c r="D15" s="122"/>
      <c r="E15" s="174"/>
      <c r="F15" s="174"/>
      <c r="G15" s="181"/>
      <c r="H15" s="174"/>
      <c r="I15" s="174"/>
      <c r="J15" s="174"/>
      <c r="K15" s="174"/>
      <c r="L15" s="174"/>
      <c r="M15" s="174"/>
      <c r="N15" s="174"/>
      <c r="O15" s="174"/>
      <c r="P15" s="174"/>
      <c r="Q15" s="181"/>
      <c r="R15" s="174"/>
      <c r="S15" s="174"/>
      <c r="T15" s="174"/>
      <c r="U15" s="164"/>
      <c r="V15" s="165"/>
      <c r="W15" s="165"/>
      <c r="X15" s="165"/>
      <c r="Y15" s="165"/>
      <c r="Z15" s="165"/>
      <c r="AA15" s="165"/>
      <c r="AB15" s="165"/>
      <c r="AC15" s="166"/>
      <c r="AD15" s="181"/>
      <c r="AE15" s="171"/>
      <c r="AF15" s="123"/>
      <c r="AG15" s="123"/>
      <c r="AH15" s="123"/>
      <c r="AI15" s="123"/>
      <c r="AJ15" s="123"/>
      <c r="AK15" s="123"/>
      <c r="AL15" s="123"/>
      <c r="AM15" s="123"/>
      <c r="AN15" s="123"/>
      <c r="AO15" s="123"/>
      <c r="AP15" s="123"/>
      <c r="AQ15" s="123"/>
      <c r="AR15" s="123"/>
    </row>
    <row r="16" spans="2:44" ht="31.5" x14ac:dyDescent="0.25">
      <c r="B16" s="122"/>
      <c r="C16" s="8" t="s">
        <v>33</v>
      </c>
      <c r="D16" s="122"/>
      <c r="E16" s="174"/>
      <c r="F16" s="174"/>
      <c r="G16" s="181"/>
      <c r="H16" s="174"/>
      <c r="I16" s="174"/>
      <c r="J16" s="174"/>
      <c r="K16" s="174"/>
      <c r="L16" s="174"/>
      <c r="M16" s="174"/>
      <c r="N16" s="174"/>
      <c r="O16" s="174"/>
      <c r="P16" s="174"/>
      <c r="Q16" s="181"/>
      <c r="R16" s="174"/>
      <c r="S16" s="174"/>
      <c r="T16" s="174"/>
      <c r="U16" s="164"/>
      <c r="V16" s="165"/>
      <c r="W16" s="165"/>
      <c r="X16" s="165"/>
      <c r="Y16" s="165"/>
      <c r="Z16" s="165"/>
      <c r="AA16" s="165"/>
      <c r="AB16" s="165"/>
      <c r="AC16" s="166"/>
      <c r="AD16" s="181"/>
      <c r="AE16" s="171"/>
      <c r="AF16" s="123"/>
      <c r="AG16" s="123"/>
      <c r="AH16" s="123"/>
      <c r="AI16" s="123"/>
      <c r="AJ16" s="123"/>
      <c r="AK16" s="123"/>
      <c r="AL16" s="123"/>
      <c r="AM16" s="123"/>
      <c r="AN16" s="123"/>
      <c r="AO16" s="123"/>
      <c r="AP16" s="123"/>
      <c r="AQ16" s="123"/>
      <c r="AR16" s="123"/>
    </row>
    <row r="17" spans="2:44" ht="94.5" x14ac:dyDescent="0.25">
      <c r="B17" s="122"/>
      <c r="C17" s="8" t="s">
        <v>34</v>
      </c>
      <c r="D17" s="122"/>
      <c r="E17" s="174"/>
      <c r="F17" s="174"/>
      <c r="G17" s="181"/>
      <c r="H17" s="174"/>
      <c r="I17" s="174"/>
      <c r="J17" s="174"/>
      <c r="K17" s="174"/>
      <c r="L17" s="174"/>
      <c r="M17" s="174"/>
      <c r="N17" s="174"/>
      <c r="O17" s="174"/>
      <c r="P17" s="174"/>
      <c r="Q17" s="181"/>
      <c r="R17" s="174"/>
      <c r="S17" s="174"/>
      <c r="T17" s="174"/>
      <c r="U17" s="164"/>
      <c r="V17" s="165"/>
      <c r="W17" s="165"/>
      <c r="X17" s="165"/>
      <c r="Y17" s="165"/>
      <c r="Z17" s="165"/>
      <c r="AA17" s="165"/>
      <c r="AB17" s="165"/>
      <c r="AC17" s="166"/>
      <c r="AD17" s="181"/>
      <c r="AE17" s="171"/>
      <c r="AF17" s="123"/>
      <c r="AG17" s="123"/>
      <c r="AH17" s="123"/>
      <c r="AI17" s="123"/>
      <c r="AJ17" s="123"/>
      <c r="AK17" s="123"/>
      <c r="AL17" s="123"/>
      <c r="AM17" s="123"/>
      <c r="AN17" s="123"/>
      <c r="AO17" s="123"/>
      <c r="AP17" s="123"/>
      <c r="AQ17" s="123"/>
      <c r="AR17" s="123"/>
    </row>
    <row r="18" spans="2:44" ht="31.5" x14ac:dyDescent="0.25">
      <c r="B18" s="122"/>
      <c r="C18" s="8" t="s">
        <v>35</v>
      </c>
      <c r="D18" s="122"/>
      <c r="E18" s="174"/>
      <c r="F18" s="174"/>
      <c r="G18" s="181"/>
      <c r="H18" s="174"/>
      <c r="I18" s="174"/>
      <c r="J18" s="174"/>
      <c r="K18" s="174"/>
      <c r="L18" s="174"/>
      <c r="M18" s="174"/>
      <c r="N18" s="174"/>
      <c r="O18" s="174"/>
      <c r="P18" s="174"/>
      <c r="Q18" s="181"/>
      <c r="R18" s="174"/>
      <c r="S18" s="174"/>
      <c r="T18" s="174"/>
      <c r="U18" s="164"/>
      <c r="V18" s="165"/>
      <c r="W18" s="165"/>
      <c r="X18" s="165"/>
      <c r="Y18" s="165"/>
      <c r="Z18" s="165"/>
      <c r="AA18" s="165"/>
      <c r="AB18" s="165"/>
      <c r="AC18" s="166"/>
      <c r="AD18" s="181"/>
      <c r="AE18" s="171"/>
      <c r="AF18" s="123"/>
      <c r="AG18" s="123"/>
      <c r="AH18" s="123"/>
      <c r="AI18" s="123"/>
      <c r="AJ18" s="123"/>
      <c r="AK18" s="123"/>
      <c r="AL18" s="123"/>
      <c r="AM18" s="123"/>
      <c r="AN18" s="123"/>
      <c r="AO18" s="123"/>
      <c r="AP18" s="123"/>
      <c r="AQ18" s="123"/>
      <c r="AR18" s="123"/>
    </row>
    <row r="19" spans="2:44" ht="15.75" x14ac:dyDescent="0.25">
      <c r="B19" s="122"/>
      <c r="C19" s="8" t="s">
        <v>36</v>
      </c>
      <c r="D19" s="122"/>
      <c r="E19" s="174"/>
      <c r="F19" s="174"/>
      <c r="G19" s="181"/>
      <c r="H19" s="174"/>
      <c r="I19" s="174"/>
      <c r="J19" s="174"/>
      <c r="K19" s="174"/>
      <c r="L19" s="174"/>
      <c r="M19" s="174"/>
      <c r="N19" s="174"/>
      <c r="O19" s="174"/>
      <c r="P19" s="174"/>
      <c r="Q19" s="181"/>
      <c r="R19" s="174"/>
      <c r="S19" s="174"/>
      <c r="T19" s="174"/>
      <c r="U19" s="164"/>
      <c r="V19" s="165"/>
      <c r="W19" s="165"/>
      <c r="X19" s="165"/>
      <c r="Y19" s="165"/>
      <c r="Z19" s="165"/>
      <c r="AA19" s="165"/>
      <c r="AB19" s="165"/>
      <c r="AC19" s="166"/>
      <c r="AD19" s="181"/>
      <c r="AE19" s="171"/>
      <c r="AF19" s="123"/>
      <c r="AG19" s="123"/>
      <c r="AH19" s="123"/>
      <c r="AI19" s="123"/>
      <c r="AJ19" s="123"/>
      <c r="AK19" s="123"/>
      <c r="AL19" s="123"/>
      <c r="AM19" s="123"/>
      <c r="AN19" s="123"/>
      <c r="AO19" s="123"/>
      <c r="AP19" s="123"/>
      <c r="AQ19" s="123"/>
      <c r="AR19" s="123"/>
    </row>
    <row r="20" spans="2:44" ht="15.75" x14ac:dyDescent="0.25">
      <c r="B20" s="122"/>
      <c r="C20" s="8" t="s">
        <v>37</v>
      </c>
      <c r="D20" s="122"/>
      <c r="E20" s="174"/>
      <c r="F20" s="174"/>
      <c r="G20" s="181"/>
      <c r="H20" s="174"/>
      <c r="I20" s="174"/>
      <c r="J20" s="174"/>
      <c r="K20" s="174"/>
      <c r="L20" s="174"/>
      <c r="M20" s="174"/>
      <c r="N20" s="174"/>
      <c r="O20" s="174"/>
      <c r="P20" s="174"/>
      <c r="Q20" s="181"/>
      <c r="R20" s="174"/>
      <c r="S20" s="174"/>
      <c r="T20" s="174"/>
      <c r="U20" s="167"/>
      <c r="V20" s="168"/>
      <c r="W20" s="168"/>
      <c r="X20" s="168"/>
      <c r="Y20" s="168"/>
      <c r="Z20" s="168"/>
      <c r="AA20" s="168"/>
      <c r="AB20" s="168"/>
      <c r="AC20" s="169"/>
      <c r="AD20" s="181"/>
      <c r="AE20" s="171"/>
      <c r="AF20" s="123"/>
      <c r="AG20" s="123"/>
      <c r="AH20" s="123"/>
      <c r="AI20" s="123"/>
      <c r="AJ20" s="123"/>
      <c r="AK20" s="123"/>
      <c r="AL20" s="123"/>
      <c r="AM20" s="123"/>
      <c r="AN20" s="123"/>
      <c r="AO20" s="123"/>
      <c r="AP20" s="123"/>
      <c r="AQ20" s="123"/>
      <c r="AR20" s="123"/>
    </row>
    <row r="21" spans="2:44" ht="63" customHeight="1" x14ac:dyDescent="0.25">
      <c r="B21" s="122" t="s">
        <v>413</v>
      </c>
      <c r="C21" s="8" t="s">
        <v>414</v>
      </c>
      <c r="D21" s="122" t="s">
        <v>19</v>
      </c>
      <c r="E21" s="174"/>
      <c r="F21" s="174"/>
      <c r="G21" s="174"/>
      <c r="H21" s="174"/>
      <c r="I21" s="174"/>
      <c r="J21" s="174"/>
      <c r="K21" s="181">
        <v>50</v>
      </c>
      <c r="L21" s="174"/>
      <c r="M21" s="178">
        <v>50</v>
      </c>
      <c r="N21" s="186">
        <v>90</v>
      </c>
      <c r="O21" s="180">
        <v>35</v>
      </c>
      <c r="P21" s="174"/>
      <c r="Q21" s="174"/>
      <c r="R21" s="174"/>
      <c r="S21" s="180">
        <v>56.105499999999999</v>
      </c>
      <c r="T21" s="175"/>
      <c r="U21" s="134">
        <f>AVERAGE(K21,M21,O21,S21)</f>
        <v>47.776375000000002</v>
      </c>
      <c r="V21" s="134">
        <f>_xlfn.STDEV.P(K21,M21,O21,S21)</f>
        <v>7.786191265431059</v>
      </c>
      <c r="W21" s="137">
        <f t="shared" ref="W21" si="24">U21-V21</f>
        <v>39.990183734568944</v>
      </c>
      <c r="X21" s="137">
        <f t="shared" ref="X21" si="25">U21+V21</f>
        <v>55.562566265431059</v>
      </c>
      <c r="Y21" s="140">
        <f>AVERAGE(K21,M21)</f>
        <v>50</v>
      </c>
      <c r="Z21" s="140">
        <f>MEDIAN(K21,M21)</f>
        <v>50</v>
      </c>
      <c r="AA21" s="143">
        <f>_xlfn.STDEV.P(K21,M21)</f>
        <v>0</v>
      </c>
      <c r="AB21" s="146">
        <f t="shared" ref="AB21" si="26">AA21/Y21</f>
        <v>0</v>
      </c>
      <c r="AC21" s="143" t="str">
        <f t="shared" ref="AC21" si="27">IF(AB21&lt;25%,"Média",IF(AB21&gt;=25%,"Mediana"))</f>
        <v>Média</v>
      </c>
      <c r="AD21" s="90">
        <f>Y21</f>
        <v>50</v>
      </c>
      <c r="AE21" s="171"/>
      <c r="AF21" s="123"/>
      <c r="AG21" s="123"/>
      <c r="AH21" s="123"/>
      <c r="AI21" s="123"/>
      <c r="AJ21" s="123"/>
      <c r="AK21" s="123"/>
      <c r="AL21" s="123"/>
      <c r="AM21" s="123"/>
      <c r="AN21" s="123"/>
      <c r="AO21" s="123"/>
      <c r="AP21" s="123"/>
      <c r="AQ21" s="123"/>
      <c r="AR21" s="123"/>
    </row>
    <row r="22" spans="2:44" ht="63" customHeight="1" x14ac:dyDescent="0.25">
      <c r="B22" s="122"/>
      <c r="C22" s="8" t="s">
        <v>415</v>
      </c>
      <c r="D22" s="122"/>
      <c r="E22" s="174"/>
      <c r="F22" s="174"/>
      <c r="G22" s="174"/>
      <c r="H22" s="174"/>
      <c r="I22" s="174"/>
      <c r="J22" s="174"/>
      <c r="K22" s="181"/>
      <c r="L22" s="174"/>
      <c r="M22" s="178"/>
      <c r="N22" s="186"/>
      <c r="O22" s="180"/>
      <c r="P22" s="174"/>
      <c r="Q22" s="174"/>
      <c r="R22" s="174"/>
      <c r="S22" s="180"/>
      <c r="T22" s="176"/>
      <c r="U22" s="135"/>
      <c r="V22" s="135"/>
      <c r="W22" s="138"/>
      <c r="X22" s="138"/>
      <c r="Y22" s="141"/>
      <c r="Z22" s="141"/>
      <c r="AA22" s="144"/>
      <c r="AB22" s="147"/>
      <c r="AC22" s="144"/>
      <c r="AD22" s="91"/>
      <c r="AE22" s="171"/>
      <c r="AF22" s="123"/>
      <c r="AG22" s="123"/>
      <c r="AH22" s="123"/>
      <c r="AI22" s="123"/>
      <c r="AJ22" s="123"/>
      <c r="AK22" s="123"/>
      <c r="AL22" s="123"/>
      <c r="AM22" s="123"/>
      <c r="AN22" s="123"/>
      <c r="AO22" s="123"/>
      <c r="AP22" s="123"/>
      <c r="AQ22" s="123"/>
      <c r="AR22" s="123"/>
    </row>
    <row r="23" spans="2:44" ht="267.75" x14ac:dyDescent="0.25">
      <c r="B23" s="122"/>
      <c r="C23" s="8" t="s">
        <v>416</v>
      </c>
      <c r="D23" s="122"/>
      <c r="E23" s="174"/>
      <c r="F23" s="174"/>
      <c r="G23" s="174"/>
      <c r="H23" s="174"/>
      <c r="I23" s="174"/>
      <c r="J23" s="174"/>
      <c r="K23" s="181"/>
      <c r="L23" s="174"/>
      <c r="M23" s="178"/>
      <c r="N23" s="186"/>
      <c r="O23" s="180"/>
      <c r="P23" s="174"/>
      <c r="Q23" s="174"/>
      <c r="R23" s="174"/>
      <c r="S23" s="180"/>
      <c r="T23" s="177"/>
      <c r="U23" s="136"/>
      <c r="V23" s="136"/>
      <c r="W23" s="139"/>
      <c r="X23" s="139"/>
      <c r="Y23" s="142"/>
      <c r="Z23" s="142"/>
      <c r="AA23" s="145"/>
      <c r="AB23" s="148"/>
      <c r="AC23" s="145"/>
      <c r="AD23" s="91"/>
      <c r="AE23" s="171"/>
      <c r="AF23" s="123"/>
      <c r="AG23" s="123"/>
      <c r="AH23" s="123"/>
      <c r="AI23" s="123"/>
      <c r="AJ23" s="123"/>
      <c r="AK23" s="123"/>
      <c r="AL23" s="123"/>
      <c r="AM23" s="123"/>
      <c r="AN23" s="123"/>
      <c r="AO23" s="123"/>
      <c r="AP23" s="123"/>
      <c r="AQ23" s="123"/>
      <c r="AR23" s="123"/>
    </row>
    <row r="24" spans="2:44" ht="63" x14ac:dyDescent="0.25">
      <c r="B24" s="8" t="s">
        <v>17</v>
      </c>
      <c r="C24" s="8" t="s">
        <v>18</v>
      </c>
      <c r="D24" s="8" t="s">
        <v>19</v>
      </c>
      <c r="E24" s="18"/>
      <c r="F24" s="18"/>
      <c r="G24" s="18"/>
      <c r="H24" s="18"/>
      <c r="I24" s="18"/>
      <c r="J24" s="18"/>
      <c r="K24" s="18"/>
      <c r="L24" s="18"/>
      <c r="M24" s="18"/>
      <c r="N24" s="18"/>
      <c r="O24" s="18"/>
      <c r="P24" s="72">
        <f>54.42</f>
        <v>54.42</v>
      </c>
      <c r="Q24" s="19">
        <v>65</v>
      </c>
      <c r="R24" s="18"/>
      <c r="S24" s="72">
        <f>(70.7*1/100)+(70.7)</f>
        <v>71.406999999999996</v>
      </c>
      <c r="T24" s="18"/>
      <c r="U24" s="67">
        <f>AVERAGE(P24:Q24,S24)</f>
        <v>63.609000000000002</v>
      </c>
      <c r="V24" s="67">
        <f>_xlfn.STDEV.P(P24:Q24,S24)</f>
        <v>7.0043178587687587</v>
      </c>
      <c r="W24" s="68">
        <f t="shared" ref="W24" si="28">U24-V24</f>
        <v>56.604682141231244</v>
      </c>
      <c r="X24" s="68">
        <f t="shared" ref="X24" si="29">U24+V24</f>
        <v>70.613317858768767</v>
      </c>
      <c r="Y24" s="69">
        <f>AVERAGE(Q24)</f>
        <v>65</v>
      </c>
      <c r="Z24" s="69">
        <f>MEDIAN(Q24)</f>
        <v>65</v>
      </c>
      <c r="AA24" s="70">
        <f>_xlfn.STDEV.P(Q24)</f>
        <v>0</v>
      </c>
      <c r="AB24" s="71">
        <f t="shared" ref="AB24" si="30">AA24/Y24</f>
        <v>0</v>
      </c>
      <c r="AC24" s="70" t="str">
        <f t="shared" ref="AC24" si="31">IF(AB24&lt;25%,"Média",IF(AB24&gt;=25%,"Mediana"))</f>
        <v>Média</v>
      </c>
      <c r="AD24" s="44">
        <f>Y24</f>
        <v>65</v>
      </c>
    </row>
    <row r="25" spans="2:44" ht="78.75" x14ac:dyDescent="0.25">
      <c r="B25" s="8" t="s">
        <v>21</v>
      </c>
      <c r="C25" s="8" t="s">
        <v>22</v>
      </c>
      <c r="D25" s="34" t="s">
        <v>23</v>
      </c>
      <c r="E25" s="18"/>
      <c r="F25" s="18"/>
      <c r="G25" s="18"/>
      <c r="H25" s="18"/>
      <c r="I25" s="18"/>
      <c r="J25" s="18"/>
      <c r="K25" s="18"/>
      <c r="L25" s="16">
        <v>10</v>
      </c>
      <c r="M25" s="72">
        <f>25/2</f>
        <v>12.5</v>
      </c>
      <c r="N25" s="19">
        <v>12</v>
      </c>
      <c r="O25" s="72">
        <f>19/2</f>
        <v>9.5</v>
      </c>
      <c r="P25" s="18"/>
      <c r="Q25" s="19">
        <v>10</v>
      </c>
      <c r="R25" s="18"/>
      <c r="S25" s="18"/>
      <c r="T25" s="18"/>
      <c r="U25" s="67">
        <f>AVERAGE(L25:O25,Q25)</f>
        <v>10.8</v>
      </c>
      <c r="V25" s="67">
        <f>_xlfn.STDEV.P(L25:O25,Q25)</f>
        <v>1.2083045973594573</v>
      </c>
      <c r="W25" s="68">
        <f t="shared" ref="W25" si="32">U25-V25</f>
        <v>9.5916954026405428</v>
      </c>
      <c r="X25" s="68">
        <f t="shared" ref="X25" si="33">U25+V25</f>
        <v>12.008304597359459</v>
      </c>
      <c r="Y25" s="69">
        <f>AVERAGE(L25,N25,Q25)</f>
        <v>10.666666666666666</v>
      </c>
      <c r="Z25" s="69">
        <f>MEDIAN(L25,N25,Q25)</f>
        <v>10</v>
      </c>
      <c r="AA25" s="70">
        <f>_xlfn.STDEV.P(L25,N25,Q25)</f>
        <v>0.94280904158206336</v>
      </c>
      <c r="AB25" s="71">
        <f t="shared" ref="AB25" si="34">AA25/Y25</f>
        <v>8.8388347648318447E-2</v>
      </c>
      <c r="AC25" s="70" t="str">
        <f t="shared" ref="AC25" si="35">IF(AB25&lt;25%,"Média",IF(AB25&gt;=25%,"Mediana"))</f>
        <v>Média</v>
      </c>
      <c r="AD25" s="44">
        <f>Y25</f>
        <v>10.666666666666666</v>
      </c>
    </row>
    <row r="26" spans="2:44" ht="78.75" x14ac:dyDescent="0.25">
      <c r="B26" s="8" t="s">
        <v>21</v>
      </c>
      <c r="C26" s="8" t="s">
        <v>631</v>
      </c>
      <c r="D26" s="8" t="s">
        <v>632</v>
      </c>
      <c r="E26" s="18"/>
      <c r="F26" s="18"/>
      <c r="G26" s="18"/>
      <c r="H26" s="18"/>
      <c r="I26" s="18"/>
      <c r="J26" s="18"/>
      <c r="K26" s="18"/>
      <c r="L26" s="16">
        <f>10*2</f>
        <v>20</v>
      </c>
      <c r="M26" s="72">
        <f>25</f>
        <v>25</v>
      </c>
      <c r="N26" s="72">
        <f>25</f>
        <v>25</v>
      </c>
      <c r="O26" s="72">
        <f>19</f>
        <v>19</v>
      </c>
      <c r="P26" s="18"/>
      <c r="Q26" s="19">
        <f>10*2</f>
        <v>20</v>
      </c>
      <c r="R26" s="18"/>
      <c r="S26" s="18"/>
      <c r="T26" s="18"/>
      <c r="U26" s="67">
        <f>AVERAGE(L26:O26,Q26)</f>
        <v>21.8</v>
      </c>
      <c r="V26" s="67">
        <f>_xlfn.STDEV.P(L26:O26,Q26)</f>
        <v>2.6381811916545836</v>
      </c>
      <c r="W26" s="68">
        <f t="shared" ref="W26" si="36">U26-V26</f>
        <v>19.161818808345416</v>
      </c>
      <c r="X26" s="68">
        <f t="shared" ref="X26" si="37">U26+V26</f>
        <v>24.438181191654586</v>
      </c>
      <c r="Y26" s="69">
        <f>AVERAGE(L26,Q26)</f>
        <v>20</v>
      </c>
      <c r="Z26" s="69">
        <f>MEDIAN(L26,Q26)</f>
        <v>20</v>
      </c>
      <c r="AA26" s="70">
        <f>_xlfn.STDEV.P(L26,Q26)</f>
        <v>0</v>
      </c>
      <c r="AB26" s="71">
        <f t="shared" ref="AB26" si="38">AA26/Y26</f>
        <v>0</v>
      </c>
      <c r="AC26" s="70" t="str">
        <f t="shared" ref="AC26" si="39">IF(AB26&lt;25%,"Média",IF(AB26&gt;=25%,"Mediana"))</f>
        <v>Média</v>
      </c>
      <c r="AD26" s="44">
        <f>Y26</f>
        <v>20</v>
      </c>
    </row>
    <row r="27" spans="2:44" ht="78.75" x14ac:dyDescent="0.25">
      <c r="B27" s="8" t="s">
        <v>39</v>
      </c>
      <c r="C27" s="8" t="s">
        <v>40</v>
      </c>
      <c r="D27" s="8" t="s">
        <v>418</v>
      </c>
      <c r="E27" s="18"/>
      <c r="F27" s="18"/>
      <c r="G27" s="16">
        <v>45</v>
      </c>
      <c r="H27" s="18"/>
      <c r="I27" s="72">
        <v>55</v>
      </c>
      <c r="J27" s="18"/>
      <c r="K27" s="18"/>
      <c r="L27" s="18"/>
      <c r="M27" s="24"/>
      <c r="N27" s="73">
        <v>18</v>
      </c>
      <c r="O27" s="24"/>
      <c r="P27" s="18"/>
      <c r="Q27" s="18"/>
      <c r="R27" s="18"/>
      <c r="S27" s="19">
        <f>(45*1/100)+(45)</f>
        <v>45.45</v>
      </c>
      <c r="T27" s="22"/>
      <c r="U27" s="67">
        <f>AVERAGE(G27,I27,N27,S27)</f>
        <v>40.862499999999997</v>
      </c>
      <c r="V27" s="67">
        <f>_xlfn.STDEV.P(G27,I27,N27,S27)</f>
        <v>13.79063880862668</v>
      </c>
      <c r="W27" s="68">
        <f t="shared" ref="W27" si="40">U27-V27</f>
        <v>27.071861191373316</v>
      </c>
      <c r="X27" s="68">
        <f t="shared" ref="X27" si="41">U27+V27</f>
        <v>54.653138808626679</v>
      </c>
      <c r="Y27" s="69">
        <f>AVERAGE(G27,S27)</f>
        <v>45.225000000000001</v>
      </c>
      <c r="Z27" s="69">
        <f>MEDIAN(G27,S27)</f>
        <v>45.225000000000001</v>
      </c>
      <c r="AA27" s="70">
        <f>_xlfn.STDEV.P(G27,S27)</f>
        <v>0.22500000000000142</v>
      </c>
      <c r="AB27" s="71">
        <f t="shared" ref="AB27" si="42">AA27/Y27</f>
        <v>4.9751243781094839E-3</v>
      </c>
      <c r="AC27" s="70" t="str">
        <f t="shared" ref="AC27" si="43">IF(AB27&lt;25%,"Média",IF(AB27&gt;=25%,"Mediana"))</f>
        <v>Média</v>
      </c>
      <c r="AD27" s="44">
        <f>Y27</f>
        <v>45.225000000000001</v>
      </c>
    </row>
    <row r="28" spans="2:44" ht="15.75" x14ac:dyDescent="0.25">
      <c r="B28" s="31"/>
      <c r="C28" s="31"/>
      <c r="D28" s="31"/>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2:44" ht="78.75" x14ac:dyDescent="0.25">
      <c r="B29" s="8" t="s">
        <v>44</v>
      </c>
      <c r="C29" s="8" t="s">
        <v>45</v>
      </c>
      <c r="D29" s="8" t="s">
        <v>46</v>
      </c>
      <c r="E29" s="18"/>
      <c r="F29" s="18"/>
      <c r="G29" s="18"/>
      <c r="H29" s="18"/>
      <c r="I29" s="18"/>
      <c r="J29" s="18"/>
      <c r="K29" s="73">
        <v>266</v>
      </c>
      <c r="L29" s="72">
        <f>1000/12*8</f>
        <v>666.66666666666663</v>
      </c>
      <c r="M29" s="72">
        <f>825/10*8</f>
        <v>660</v>
      </c>
      <c r="N29" s="16">
        <v>280</v>
      </c>
      <c r="O29" s="18"/>
      <c r="P29" s="19">
        <v>480</v>
      </c>
      <c r="Q29" s="19">
        <f>400/10*8</f>
        <v>320</v>
      </c>
      <c r="R29" s="18"/>
      <c r="S29" s="19">
        <f>(353.5*1/100)+(353.5)</f>
        <v>357.03500000000003</v>
      </c>
      <c r="T29" s="18"/>
      <c r="U29" s="67">
        <f>AVERAGE(L29:N29,P29:Q29,S29,K29)</f>
        <v>432.81452380952379</v>
      </c>
      <c r="V29" s="67">
        <f>_xlfn.STDEV.P(L29:N29,P29:Q29,S29,K29)</f>
        <v>159.54200142290821</v>
      </c>
      <c r="W29" s="68">
        <f t="shared" ref="W29" si="44">U29-V29</f>
        <v>273.27252238661561</v>
      </c>
      <c r="X29" s="68">
        <f t="shared" ref="X29" si="45">U29+V29</f>
        <v>592.35652523243198</v>
      </c>
      <c r="Y29" s="69">
        <f>AVERAGE(P29:Q29,S29,N29)</f>
        <v>359.25875000000002</v>
      </c>
      <c r="Z29" s="69">
        <f>MEDIAN(P29:Q29,S29,N29)</f>
        <v>338.51750000000004</v>
      </c>
      <c r="AA29" s="70">
        <f>_xlfn.STDEV.P(P29:Q29,S29,N29)</f>
        <v>74.844160458164538</v>
      </c>
      <c r="AB29" s="71">
        <f t="shared" ref="AB29" si="46">AA29/Y29</f>
        <v>0.2083294017422388</v>
      </c>
      <c r="AC29" s="70" t="str">
        <f t="shared" ref="AC29" si="47">IF(AB29&lt;25%,"Média",IF(AB29&gt;=25%,"Mediana"))</f>
        <v>Média</v>
      </c>
      <c r="AD29" s="19">
        <f>Y29</f>
        <v>359.25875000000002</v>
      </c>
    </row>
    <row r="30" spans="2:44" ht="78.75" x14ac:dyDescent="0.25">
      <c r="B30" s="8" t="s">
        <v>48</v>
      </c>
      <c r="C30" s="8" t="s">
        <v>45</v>
      </c>
      <c r="D30" s="8" t="s">
        <v>154</v>
      </c>
      <c r="E30" s="18"/>
      <c r="F30" s="18"/>
      <c r="G30" s="18"/>
      <c r="H30" s="18"/>
      <c r="I30" s="18"/>
      <c r="J30" s="18"/>
      <c r="K30" s="58">
        <v>50</v>
      </c>
      <c r="L30" s="18"/>
      <c r="M30" s="24"/>
      <c r="N30" s="73">
        <v>65</v>
      </c>
      <c r="O30" s="18"/>
      <c r="P30" s="73">
        <v>30</v>
      </c>
      <c r="Q30" s="18"/>
      <c r="R30" s="18"/>
      <c r="S30" s="36">
        <f>(3.03*1/100)+(3.03)</f>
        <v>3.0602999999999998</v>
      </c>
      <c r="T30" s="18"/>
      <c r="U30" s="67">
        <f>AVERAGE(K30,N30,P30)</f>
        <v>48.333333333333336</v>
      </c>
      <c r="V30" s="67">
        <f>_xlfn.STDEV.P(K30,N30,P30)</f>
        <v>14.337208778404378</v>
      </c>
      <c r="W30" s="68">
        <f t="shared" ref="W30" si="48">U30-V30</f>
        <v>33.996124554928954</v>
      </c>
      <c r="X30" s="68">
        <f t="shared" ref="X30" si="49">U30+V30</f>
        <v>62.670542111737717</v>
      </c>
      <c r="Y30" s="69">
        <f>AVERAGE(K30)</f>
        <v>50</v>
      </c>
      <c r="Z30" s="69">
        <f>MEDIAN(K30)</f>
        <v>50</v>
      </c>
      <c r="AA30" s="70">
        <f>_xlfn.STDEV.P(K30)</f>
        <v>0</v>
      </c>
      <c r="AB30" s="71">
        <f t="shared" ref="AB30" si="50">AA30/Y30</f>
        <v>0</v>
      </c>
      <c r="AC30" s="70" t="str">
        <f t="shared" ref="AC30" si="51">IF(AB30&lt;25%,"Média",IF(AB30&gt;=25%,"Mediana"))</f>
        <v>Média</v>
      </c>
      <c r="AD30" s="44">
        <f>Y30</f>
        <v>50</v>
      </c>
    </row>
    <row r="31" spans="2:44" ht="63" x14ac:dyDescent="0.25">
      <c r="B31" s="8" t="s">
        <v>51</v>
      </c>
      <c r="C31" s="8" t="s">
        <v>419</v>
      </c>
      <c r="D31" s="8" t="s">
        <v>46</v>
      </c>
      <c r="E31" s="18"/>
      <c r="F31" s="18"/>
      <c r="G31" s="18"/>
      <c r="H31" s="18"/>
      <c r="I31" s="18"/>
      <c r="J31" s="18"/>
      <c r="K31" s="18"/>
      <c r="L31" s="19">
        <f>500/12*8</f>
        <v>333.33333333333331</v>
      </c>
      <c r="M31" s="36">
        <f>665/10*8</f>
        <v>532</v>
      </c>
      <c r="N31" s="19">
        <v>250</v>
      </c>
      <c r="O31" s="18"/>
      <c r="P31" s="19">
        <v>310</v>
      </c>
      <c r="Q31" s="72">
        <v>150</v>
      </c>
      <c r="R31" s="18"/>
      <c r="S31" s="72">
        <f>(404*1/100)+(404)</f>
        <v>408.04</v>
      </c>
      <c r="T31" s="18"/>
      <c r="U31" s="67">
        <f>AVERAGE(L31,N31,P31:Q31,S31)</f>
        <v>290.27466666666663</v>
      </c>
      <c r="V31" s="67">
        <f>_xlfn.STDEV.P(L31,N31,P31:Q31,S31)</f>
        <v>86.499528517661886</v>
      </c>
      <c r="W31" s="68">
        <f t="shared" ref="W31" si="52">U31-V31</f>
        <v>203.77513814900476</v>
      </c>
      <c r="X31" s="68">
        <f t="shared" ref="X31" si="53">U31+V31</f>
        <v>376.77419518432851</v>
      </c>
      <c r="Y31" s="69">
        <f>AVERAGE(P31)</f>
        <v>310</v>
      </c>
      <c r="Z31" s="69">
        <f>MEDIAN(P31)</f>
        <v>310</v>
      </c>
      <c r="AA31" s="70">
        <f>_xlfn.STDEV.P(P31)</f>
        <v>0</v>
      </c>
      <c r="AB31" s="71">
        <f t="shared" ref="AB31" si="54">AA31/Y31</f>
        <v>0</v>
      </c>
      <c r="AC31" s="70" t="str">
        <f t="shared" ref="AC31" si="55">IF(AB31&lt;25%,"Média",IF(AB31&gt;=25%,"Mediana"))</f>
        <v>Média</v>
      </c>
      <c r="AD31" s="44">
        <f>Y31</f>
        <v>310</v>
      </c>
    </row>
    <row r="32" spans="2:44" ht="63" x14ac:dyDescent="0.25">
      <c r="B32" s="8" t="s">
        <v>54</v>
      </c>
      <c r="C32" s="8" t="s">
        <v>419</v>
      </c>
      <c r="D32" s="8" t="s">
        <v>154</v>
      </c>
      <c r="E32" s="18"/>
      <c r="F32" s="18"/>
      <c r="G32" s="18"/>
      <c r="H32" s="18"/>
      <c r="I32" s="18"/>
      <c r="J32" s="18"/>
      <c r="K32" s="18"/>
      <c r="L32" s="18"/>
      <c r="M32" s="24"/>
      <c r="N32" s="73">
        <v>70</v>
      </c>
      <c r="O32" s="18"/>
      <c r="P32" s="21">
        <v>20</v>
      </c>
      <c r="Q32" s="18"/>
      <c r="R32" s="18"/>
      <c r="S32" s="19">
        <f>(30.3*1/100)+(30.3)</f>
        <v>30.603000000000002</v>
      </c>
      <c r="T32" s="18"/>
      <c r="U32" s="67">
        <f>AVERAGE(N32,P32,S32)</f>
        <v>40.201000000000001</v>
      </c>
      <c r="V32" s="67">
        <f>_xlfn.STDEV.P(N32,P32,S32)</f>
        <v>21.511101056586259</v>
      </c>
      <c r="W32" s="68">
        <f t="shared" ref="W32" si="56">U32-V32</f>
        <v>18.689898943413741</v>
      </c>
      <c r="X32" s="68">
        <f t="shared" ref="X32" si="57">U32+V32</f>
        <v>61.712101056586263</v>
      </c>
      <c r="Y32" s="69">
        <f>AVERAGE(S32,P32)</f>
        <v>25.301500000000001</v>
      </c>
      <c r="Z32" s="69">
        <f>MEDIAN(S32,P32)</f>
        <v>25.301500000000001</v>
      </c>
      <c r="AA32" s="70">
        <f>_xlfn.STDEV.P(S32,P32)</f>
        <v>5.301499999999999</v>
      </c>
      <c r="AB32" s="71">
        <f t="shared" ref="AB32" si="58">AA32/Y32</f>
        <v>0.20953303163844036</v>
      </c>
      <c r="AC32" s="70" t="str">
        <f t="shared" ref="AC32" si="59">IF(AB32&lt;25%,"Média",IF(AB32&gt;=25%,"Mediana"))</f>
        <v>Média</v>
      </c>
      <c r="AD32" s="44">
        <f>Y32</f>
        <v>25.301500000000001</v>
      </c>
    </row>
    <row r="33" spans="2:30" ht="15.75" x14ac:dyDescent="0.25">
      <c r="B33" s="8"/>
      <c r="C33" s="8"/>
      <c r="D33" s="8"/>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2:30" ht="15.75" x14ac:dyDescent="0.25">
      <c r="B34" s="31"/>
      <c r="C34" s="31"/>
      <c r="D34" s="31"/>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2:30" ht="94.5" x14ac:dyDescent="0.25">
      <c r="B35" s="8" t="s">
        <v>58</v>
      </c>
      <c r="C35" s="8" t="s">
        <v>59</v>
      </c>
      <c r="D35" s="8" t="s">
        <v>301</v>
      </c>
      <c r="E35" s="18"/>
      <c r="F35" s="18"/>
      <c r="G35" s="18"/>
      <c r="H35" s="18"/>
      <c r="I35" s="18"/>
      <c r="J35" s="18"/>
      <c r="K35" s="18"/>
      <c r="L35" s="18"/>
      <c r="M35" s="19">
        <v>20</v>
      </c>
      <c r="N35" s="22"/>
      <c r="O35" s="18"/>
      <c r="P35" s="60">
        <v>700</v>
      </c>
      <c r="Q35" s="72">
        <v>45</v>
      </c>
      <c r="R35" s="18"/>
      <c r="S35" s="19">
        <f>(23.59*1/100)+(23.59)</f>
        <v>23.825900000000001</v>
      </c>
      <c r="T35" s="18"/>
      <c r="U35" s="67">
        <f>AVERAGE(M35,Q35,S35)</f>
        <v>29.608633333333334</v>
      </c>
      <c r="V35" s="67">
        <f>_xlfn.STDEV.P(M35,Q35,S35)</f>
        <v>10.994847387248671</v>
      </c>
      <c r="W35" s="68">
        <f t="shared" ref="W35" si="60">U35-V35</f>
        <v>18.613785946084661</v>
      </c>
      <c r="X35" s="68">
        <f t="shared" ref="X35" si="61">U35+V35</f>
        <v>40.603480720582006</v>
      </c>
      <c r="Y35" s="69">
        <f>AVERAGE(M35,S35)</f>
        <v>21.912950000000002</v>
      </c>
      <c r="Z35" s="69">
        <f>MEDIAN(M35,S35)</f>
        <v>21.912950000000002</v>
      </c>
      <c r="AA35" s="70">
        <f>_xlfn.STDEV.P(M35,S35)</f>
        <v>1.9129500000000004</v>
      </c>
      <c r="AB35" s="71">
        <f t="shared" ref="AB35" si="62">AA35/Y35</f>
        <v>8.7297693829447895E-2</v>
      </c>
      <c r="AC35" s="70" t="str">
        <f t="shared" ref="AC35" si="63">IF(AB35&lt;25%,"Média",IF(AB35&gt;=25%,"Mediana"))</f>
        <v>Média</v>
      </c>
      <c r="AD35" s="44">
        <f>Y35</f>
        <v>21.912950000000002</v>
      </c>
    </row>
    <row r="36" spans="2:30" ht="15.75" x14ac:dyDescent="0.25">
      <c r="B36" s="8" t="s">
        <v>634</v>
      </c>
      <c r="C36" s="8" t="s">
        <v>635</v>
      </c>
      <c r="D36" s="8" t="s">
        <v>70</v>
      </c>
      <c r="E36" s="18"/>
      <c r="F36" s="38">
        <v>165</v>
      </c>
      <c r="G36" s="38">
        <v>190</v>
      </c>
      <c r="H36" s="38">
        <v>150</v>
      </c>
      <c r="I36" s="18"/>
      <c r="J36" s="18"/>
      <c r="K36" s="18"/>
      <c r="L36" s="16">
        <v>5</v>
      </c>
      <c r="M36" s="18"/>
      <c r="N36" s="18"/>
      <c r="O36" s="18"/>
      <c r="P36" s="18"/>
      <c r="Q36" s="18"/>
      <c r="R36" s="18"/>
      <c r="S36" s="18"/>
      <c r="T36" s="18"/>
      <c r="U36" s="128" t="s">
        <v>805</v>
      </c>
      <c r="V36" s="129"/>
      <c r="W36" s="129"/>
      <c r="X36" s="129"/>
      <c r="Y36" s="129"/>
      <c r="Z36" s="129"/>
      <c r="AA36" s="129"/>
      <c r="AB36" s="129"/>
      <c r="AC36" s="130"/>
      <c r="AD36" s="44">
        <f>L36</f>
        <v>5</v>
      </c>
    </row>
    <row r="37" spans="2:30" ht="110.25" x14ac:dyDescent="0.25">
      <c r="B37" s="8" t="s">
        <v>65</v>
      </c>
      <c r="C37" s="8" t="s">
        <v>420</v>
      </c>
      <c r="D37" s="8" t="s">
        <v>301</v>
      </c>
      <c r="E37" s="18"/>
      <c r="F37" s="18"/>
      <c r="G37" s="36">
        <v>180</v>
      </c>
      <c r="H37" s="18"/>
      <c r="I37" s="18"/>
      <c r="J37" s="18"/>
      <c r="K37" s="18"/>
      <c r="L37" s="18"/>
      <c r="M37" s="19">
        <v>20</v>
      </c>
      <c r="N37" s="22"/>
      <c r="O37" s="18"/>
      <c r="P37" s="18"/>
      <c r="Q37" s="18"/>
      <c r="R37" s="18"/>
      <c r="S37" s="18"/>
      <c r="T37" s="18"/>
      <c r="U37" s="128" t="s">
        <v>806</v>
      </c>
      <c r="V37" s="129"/>
      <c r="W37" s="129"/>
      <c r="X37" s="129"/>
      <c r="Y37" s="129"/>
      <c r="Z37" s="129"/>
      <c r="AA37" s="129"/>
      <c r="AB37" s="129"/>
      <c r="AC37" s="130"/>
      <c r="AD37" s="44">
        <f>M37</f>
        <v>20</v>
      </c>
    </row>
    <row r="38" spans="2:30" ht="94.5" x14ac:dyDescent="0.25">
      <c r="B38" s="8" t="s">
        <v>473</v>
      </c>
      <c r="C38" s="8" t="s">
        <v>474</v>
      </c>
      <c r="D38" s="8" t="s">
        <v>636</v>
      </c>
      <c r="E38" s="18"/>
      <c r="F38" s="19">
        <v>220</v>
      </c>
      <c r="G38" s="37">
        <v>3800</v>
      </c>
      <c r="H38" s="19">
        <v>200</v>
      </c>
      <c r="I38" s="37">
        <v>890</v>
      </c>
      <c r="J38" s="18"/>
      <c r="K38" s="18"/>
      <c r="L38" s="18"/>
      <c r="M38" s="18"/>
      <c r="N38" s="18"/>
      <c r="O38" s="18"/>
      <c r="P38" s="18"/>
      <c r="Q38" s="18"/>
      <c r="R38" s="18"/>
      <c r="S38" s="18"/>
      <c r="T38" s="18"/>
      <c r="U38" s="128" t="s">
        <v>810</v>
      </c>
      <c r="V38" s="129"/>
      <c r="W38" s="129"/>
      <c r="X38" s="129"/>
      <c r="Y38" s="129"/>
      <c r="Z38" s="129"/>
      <c r="AA38" s="129"/>
      <c r="AB38" s="129"/>
      <c r="AC38" s="130"/>
      <c r="AD38" s="44">
        <f>AVERAGE(F38,H38)</f>
        <v>210</v>
      </c>
    </row>
    <row r="39" spans="2:30" ht="94.5" x14ac:dyDescent="0.25">
      <c r="B39" s="8" t="s">
        <v>61</v>
      </c>
      <c r="C39" s="8" t="s">
        <v>59</v>
      </c>
      <c r="D39" s="8" t="s">
        <v>301</v>
      </c>
      <c r="E39" s="18"/>
      <c r="F39" s="36">
        <v>165</v>
      </c>
      <c r="G39" s="36">
        <v>2200</v>
      </c>
      <c r="H39" s="36">
        <v>150</v>
      </c>
      <c r="I39" s="22"/>
      <c r="J39" s="18"/>
      <c r="K39" s="18"/>
      <c r="L39" s="18"/>
      <c r="M39" s="19">
        <v>20</v>
      </c>
      <c r="N39" s="22"/>
      <c r="O39" s="18"/>
      <c r="P39" s="18"/>
      <c r="Q39" s="19">
        <v>40</v>
      </c>
      <c r="R39" s="18"/>
      <c r="S39" s="18"/>
      <c r="T39" s="18"/>
      <c r="U39" s="128" t="s">
        <v>809</v>
      </c>
      <c r="V39" s="129"/>
      <c r="W39" s="129"/>
      <c r="X39" s="129"/>
      <c r="Y39" s="129"/>
      <c r="Z39" s="129"/>
      <c r="AA39" s="129"/>
      <c r="AB39" s="129"/>
      <c r="AC39" s="130"/>
      <c r="AD39" s="44">
        <f>AVERAGE(M39,Q39)</f>
        <v>30</v>
      </c>
    </row>
    <row r="40" spans="2:30" ht="94.5" x14ac:dyDescent="0.25">
      <c r="B40" s="8" t="s">
        <v>63</v>
      </c>
      <c r="C40" s="8" t="s">
        <v>59</v>
      </c>
      <c r="D40" s="8" t="s">
        <v>301</v>
      </c>
      <c r="E40" s="18"/>
      <c r="F40" s="18"/>
      <c r="G40" s="36">
        <v>180</v>
      </c>
      <c r="H40" s="18"/>
      <c r="I40" s="18"/>
      <c r="J40" s="18"/>
      <c r="K40" s="18"/>
      <c r="L40" s="18"/>
      <c r="M40" s="19">
        <v>20</v>
      </c>
      <c r="N40" s="22"/>
      <c r="O40" s="18"/>
      <c r="P40" s="18"/>
      <c r="Q40" s="72">
        <v>40</v>
      </c>
      <c r="R40" s="18"/>
      <c r="S40" s="19">
        <f>(23.59*1/100)+(23.59)</f>
        <v>23.825900000000001</v>
      </c>
      <c r="T40" s="18"/>
      <c r="U40" s="67">
        <f>AVERAGE(M40,Q40,S40)</f>
        <v>27.941966666666669</v>
      </c>
      <c r="V40" s="67">
        <f>_xlfn.STDEV.P(M40,Q40,S40)</f>
        <v>8.6681987211236056</v>
      </c>
      <c r="W40" s="68">
        <f t="shared" ref="W40" si="64">U40-V40</f>
        <v>19.273767945543064</v>
      </c>
      <c r="X40" s="68">
        <f t="shared" ref="X40" si="65">U40+V40</f>
        <v>36.610165387790275</v>
      </c>
      <c r="Y40" s="69">
        <f>AVERAGE(M40,S40)</f>
        <v>21.912950000000002</v>
      </c>
      <c r="Z40" s="69">
        <f>MEDIAN(M40,S40)</f>
        <v>21.912950000000002</v>
      </c>
      <c r="AA40" s="70">
        <f>_xlfn.STDEV.P(M40,S40)</f>
        <v>1.9129500000000004</v>
      </c>
      <c r="AB40" s="71">
        <f t="shared" ref="AB40" si="66">AA40/Y40</f>
        <v>8.7297693829447895E-2</v>
      </c>
      <c r="AC40" s="70" t="str">
        <f t="shared" ref="AC40" si="67">IF(AB40&lt;25%,"Média",IF(AB40&gt;=25%,"Mediana"))</f>
        <v>Média</v>
      </c>
      <c r="AD40" s="44">
        <f>Y40</f>
        <v>21.912950000000002</v>
      </c>
    </row>
    <row r="41" spans="2:30" ht="15.75" x14ac:dyDescent="0.25">
      <c r="B41" s="8"/>
      <c r="C41" s="8"/>
      <c r="D41" s="8"/>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2:30" ht="15.75" x14ac:dyDescent="0.25">
      <c r="B42" s="31"/>
      <c r="C42" s="31"/>
      <c r="D42" s="31"/>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pans="2:30" ht="94.5" x14ac:dyDescent="0.25">
      <c r="B43" s="8" t="s">
        <v>68</v>
      </c>
      <c r="C43" s="8" t="s">
        <v>69</v>
      </c>
      <c r="D43" s="8" t="s">
        <v>70</v>
      </c>
      <c r="E43" s="36">
        <v>3150</v>
      </c>
      <c r="F43" s="36">
        <v>2750</v>
      </c>
      <c r="G43" s="36">
        <v>7000</v>
      </c>
      <c r="H43" s="36">
        <v>2500</v>
      </c>
      <c r="I43" s="36">
        <v>1650</v>
      </c>
      <c r="J43" s="18"/>
      <c r="K43" s="18"/>
      <c r="L43" s="18"/>
      <c r="M43" s="19">
        <v>500</v>
      </c>
      <c r="N43" s="22"/>
      <c r="O43" s="18"/>
      <c r="P43" s="18"/>
      <c r="Q43" s="18"/>
      <c r="R43" s="18"/>
      <c r="S43" s="18"/>
      <c r="T43" s="18"/>
      <c r="U43" s="128" t="s">
        <v>807</v>
      </c>
      <c r="V43" s="129"/>
      <c r="W43" s="129"/>
      <c r="X43" s="129"/>
      <c r="Y43" s="129"/>
      <c r="Z43" s="129"/>
      <c r="AA43" s="129"/>
      <c r="AB43" s="129"/>
      <c r="AC43" s="130"/>
      <c r="AD43" s="44">
        <f>M43</f>
        <v>500</v>
      </c>
    </row>
    <row r="44" spans="2:30" ht="15.75" x14ac:dyDescent="0.25">
      <c r="B44" s="8" t="s">
        <v>72</v>
      </c>
      <c r="C44" s="8" t="s">
        <v>73</v>
      </c>
      <c r="D44" s="8" t="s">
        <v>70</v>
      </c>
      <c r="E44" s="18"/>
      <c r="F44" s="18"/>
      <c r="G44" s="18"/>
      <c r="H44" s="18"/>
      <c r="I44" s="18"/>
      <c r="J44" s="18"/>
      <c r="K44" s="18"/>
      <c r="L44" s="18"/>
      <c r="M44" s="18"/>
      <c r="N44" s="18"/>
      <c r="O44" s="18"/>
      <c r="P44" s="18"/>
      <c r="Q44" s="20">
        <v>28</v>
      </c>
      <c r="R44" s="18"/>
      <c r="S44" s="18"/>
      <c r="T44" s="18"/>
      <c r="U44" s="128" t="s">
        <v>796</v>
      </c>
      <c r="V44" s="129"/>
      <c r="W44" s="129"/>
      <c r="X44" s="129"/>
      <c r="Y44" s="129"/>
      <c r="Z44" s="129"/>
      <c r="AA44" s="129"/>
      <c r="AB44" s="129"/>
      <c r="AC44" s="130"/>
      <c r="AD44" s="44">
        <f>Q44</f>
        <v>28</v>
      </c>
    </row>
    <row r="45" spans="2:30" ht="15.75" x14ac:dyDescent="0.25">
      <c r="B45" s="8" t="s">
        <v>421</v>
      </c>
      <c r="C45" s="8" t="s">
        <v>422</v>
      </c>
      <c r="D45" s="8" t="s">
        <v>70</v>
      </c>
      <c r="E45" s="27"/>
      <c r="F45" s="27"/>
      <c r="G45" s="27"/>
      <c r="H45" s="27"/>
      <c r="I45" s="27"/>
      <c r="J45" s="27"/>
      <c r="K45" s="27"/>
      <c r="L45" s="19">
        <v>5</v>
      </c>
      <c r="M45" s="27"/>
      <c r="N45" s="19">
        <v>5</v>
      </c>
      <c r="O45" s="27"/>
      <c r="P45" s="27"/>
      <c r="Q45" s="18"/>
      <c r="R45" s="18"/>
      <c r="S45" s="18"/>
      <c r="T45" s="18"/>
      <c r="U45" s="128" t="s">
        <v>793</v>
      </c>
      <c r="V45" s="129"/>
      <c r="W45" s="129"/>
      <c r="X45" s="129"/>
      <c r="Y45" s="129"/>
      <c r="Z45" s="129"/>
      <c r="AA45" s="129"/>
      <c r="AB45" s="129"/>
      <c r="AC45" s="130"/>
      <c r="AD45" s="44">
        <f>N45</f>
        <v>5</v>
      </c>
    </row>
    <row r="46" spans="2:30" ht="141.75" x14ac:dyDescent="0.25">
      <c r="B46" s="8" t="s">
        <v>75</v>
      </c>
      <c r="C46" s="8" t="s">
        <v>423</v>
      </c>
      <c r="D46" s="8" t="s">
        <v>70</v>
      </c>
      <c r="E46" s="18"/>
      <c r="F46" s="18"/>
      <c r="G46" s="18"/>
      <c r="H46" s="18"/>
      <c r="I46" s="18"/>
      <c r="J46" s="18"/>
      <c r="K46" s="18"/>
      <c r="L46" s="18"/>
      <c r="M46" s="73">
        <v>40</v>
      </c>
      <c r="N46" s="73">
        <v>12</v>
      </c>
      <c r="O46" s="18"/>
      <c r="P46" s="25">
        <v>30</v>
      </c>
      <c r="Q46" s="19">
        <v>16</v>
      </c>
      <c r="R46" s="18"/>
      <c r="S46" s="18"/>
      <c r="T46" s="18"/>
      <c r="U46" s="67">
        <f>AVERAGE(M46:N46,P46:Q46)</f>
        <v>24.5</v>
      </c>
      <c r="V46" s="67">
        <f>_xlfn.STDEV.P(M46:N46,P46:Q46)</f>
        <v>11.169153951844338</v>
      </c>
      <c r="W46" s="68">
        <f t="shared" ref="W46" si="68">U46-V46</f>
        <v>13.330846048155662</v>
      </c>
      <c r="X46" s="68">
        <f t="shared" ref="X46" si="69">U46+V46</f>
        <v>35.669153951844336</v>
      </c>
      <c r="Y46" s="69">
        <f>AVERAGE(P46:Q46)</f>
        <v>23</v>
      </c>
      <c r="Z46" s="69">
        <f>MEDIAN(P46:Q46)</f>
        <v>23</v>
      </c>
      <c r="AA46" s="70">
        <f>_xlfn.STDEV.P(P46:Q46)</f>
        <v>7</v>
      </c>
      <c r="AB46" s="71">
        <f t="shared" ref="AB46" si="70">AA46/Y46</f>
        <v>0.30434782608695654</v>
      </c>
      <c r="AC46" s="70" t="str">
        <f t="shared" ref="AC46" si="71">IF(AB46&lt;25%,"Média",IF(AB46&gt;=25%,"Mediana"))</f>
        <v>Mediana</v>
      </c>
      <c r="AD46" s="44">
        <f>Z46</f>
        <v>23</v>
      </c>
    </row>
    <row r="47" spans="2:30" ht="47.25" x14ac:dyDescent="0.25">
      <c r="B47" s="8" t="s">
        <v>81</v>
      </c>
      <c r="C47" s="8" t="s">
        <v>424</v>
      </c>
      <c r="D47" s="8" t="s">
        <v>70</v>
      </c>
      <c r="E47" s="18"/>
      <c r="F47" s="18"/>
      <c r="G47" s="18"/>
      <c r="H47" s="18"/>
      <c r="I47" s="18"/>
      <c r="J47" s="18"/>
      <c r="K47" s="18"/>
      <c r="L47" s="18"/>
      <c r="M47" s="72">
        <v>30</v>
      </c>
      <c r="N47" s="19">
        <v>10</v>
      </c>
      <c r="O47" s="18"/>
      <c r="P47" s="18"/>
      <c r="Q47" s="20">
        <v>8.56</v>
      </c>
      <c r="R47" s="18"/>
      <c r="S47" s="18"/>
      <c r="T47" s="18"/>
      <c r="U47" s="67">
        <f>AVERAGE(M47:N47,Q47)</f>
        <v>16.186666666666667</v>
      </c>
      <c r="V47" s="67">
        <f>_xlfn.STDEV.P(M47:N47,Q47)</f>
        <v>9.7851769983423846</v>
      </c>
      <c r="W47" s="68">
        <f t="shared" ref="W47" si="72">U47-V47</f>
        <v>6.4014896683242828</v>
      </c>
      <c r="X47" s="68">
        <f t="shared" ref="X47" si="73">U47+V47</f>
        <v>25.971843665009054</v>
      </c>
      <c r="Y47" s="69">
        <f>AVERAGE(N47,Q47)</f>
        <v>9.2800000000000011</v>
      </c>
      <c r="Z47" s="69">
        <f>MEDIAN(N47,Q47)</f>
        <v>9.2800000000000011</v>
      </c>
      <c r="AA47" s="70">
        <f>_xlfn.STDEV.P(N47,Q47)</f>
        <v>0.71999999999999986</v>
      </c>
      <c r="AB47" s="71">
        <f t="shared" ref="AB47" si="74">AA47/Y47</f>
        <v>7.7586206896551699E-2</v>
      </c>
      <c r="AC47" s="70" t="str">
        <f t="shared" ref="AC47" si="75">IF(AB47&lt;25%,"Média",IF(AB47&gt;=25%,"Mediana"))</f>
        <v>Média</v>
      </c>
      <c r="AD47" s="44">
        <f>Y47</f>
        <v>9.2800000000000011</v>
      </c>
    </row>
    <row r="48" spans="2:30" ht="15.75" x14ac:dyDescent="0.25">
      <c r="B48" s="8" t="s">
        <v>78</v>
      </c>
      <c r="C48" s="8" t="s">
        <v>79</v>
      </c>
      <c r="D48" s="8" t="s">
        <v>70</v>
      </c>
      <c r="E48" s="18"/>
      <c r="F48" s="18"/>
      <c r="G48" s="19">
        <v>190</v>
      </c>
      <c r="H48" s="18"/>
      <c r="I48" s="36">
        <v>288</v>
      </c>
      <c r="J48" s="18"/>
      <c r="K48" s="18"/>
      <c r="L48" s="18"/>
      <c r="M48" s="18"/>
      <c r="N48" s="18"/>
      <c r="O48" s="18"/>
      <c r="P48" s="18"/>
      <c r="Q48" s="18"/>
      <c r="R48" s="18"/>
      <c r="S48" s="18"/>
      <c r="T48" s="18"/>
      <c r="U48" s="128" t="s">
        <v>792</v>
      </c>
      <c r="V48" s="129"/>
      <c r="W48" s="129"/>
      <c r="X48" s="129"/>
      <c r="Y48" s="129"/>
      <c r="Z48" s="129"/>
      <c r="AA48" s="129"/>
      <c r="AB48" s="129"/>
      <c r="AC48" s="130"/>
      <c r="AD48" s="44">
        <f>G48</f>
        <v>190</v>
      </c>
    </row>
    <row r="49" spans="2:30" ht="31.5" x14ac:dyDescent="0.25">
      <c r="B49" s="8" t="s">
        <v>84</v>
      </c>
      <c r="C49" s="8" t="s">
        <v>85</v>
      </c>
      <c r="D49" s="8" t="s">
        <v>70</v>
      </c>
      <c r="E49" s="18"/>
      <c r="F49" s="18"/>
      <c r="G49" s="18"/>
      <c r="H49" s="18"/>
      <c r="I49" s="18"/>
      <c r="J49" s="18"/>
      <c r="K49" s="18"/>
      <c r="L49" s="72">
        <v>250</v>
      </c>
      <c r="M49" s="18"/>
      <c r="N49" s="18"/>
      <c r="O49" s="19">
        <v>70</v>
      </c>
      <c r="P49" s="18"/>
      <c r="Q49" s="19">
        <v>110</v>
      </c>
      <c r="R49" s="18"/>
      <c r="S49" s="18"/>
      <c r="T49" s="18"/>
      <c r="U49" s="67">
        <f>AVERAGE(L49,O49,Q49)</f>
        <v>143.33333333333334</v>
      </c>
      <c r="V49" s="67">
        <f>_xlfn.STDEV.P(L49,O49,Q49)</f>
        <v>77.172246018601498</v>
      </c>
      <c r="W49" s="68">
        <f t="shared" ref="W49" si="76">U49-V49</f>
        <v>66.161087314731844</v>
      </c>
      <c r="X49" s="68">
        <f t="shared" ref="X49" si="77">U49+V49</f>
        <v>220.50557935193484</v>
      </c>
      <c r="Y49" s="69">
        <f>AVERAGE(O49,Q49)</f>
        <v>90</v>
      </c>
      <c r="Z49" s="69">
        <f>MEDIAN(O49,Q49)</f>
        <v>90</v>
      </c>
      <c r="AA49" s="70">
        <f>_xlfn.STDEV.P(O49,Q49)</f>
        <v>20</v>
      </c>
      <c r="AB49" s="71">
        <f t="shared" ref="AB49" si="78">AA49/Y49</f>
        <v>0.22222222222222221</v>
      </c>
      <c r="AC49" s="70" t="str">
        <f t="shared" ref="AC49" si="79">IF(AB49&lt;25%,"Média",IF(AB49&gt;=25%,"Mediana"))</f>
        <v>Média</v>
      </c>
      <c r="AD49" s="44">
        <f>Y49</f>
        <v>90</v>
      </c>
    </row>
    <row r="50" spans="2:30" ht="31.5" x14ac:dyDescent="0.25">
      <c r="B50" s="8" t="s">
        <v>84</v>
      </c>
      <c r="C50" s="8" t="s">
        <v>87</v>
      </c>
      <c r="D50" s="8" t="s">
        <v>70</v>
      </c>
      <c r="E50" s="18"/>
      <c r="F50" s="18"/>
      <c r="G50" s="18"/>
      <c r="H50" s="18"/>
      <c r="I50" s="18"/>
      <c r="J50" s="18"/>
      <c r="K50" s="18"/>
      <c r="L50" s="18"/>
      <c r="M50" s="18"/>
      <c r="N50" s="18"/>
      <c r="O50" s="18"/>
      <c r="P50" s="18"/>
      <c r="Q50" s="19">
        <v>110</v>
      </c>
      <c r="R50" s="25">
        <v>65</v>
      </c>
      <c r="S50" s="18"/>
      <c r="T50" s="18"/>
      <c r="U50" s="128" t="s">
        <v>808</v>
      </c>
      <c r="V50" s="129"/>
      <c r="W50" s="129"/>
      <c r="X50" s="129"/>
      <c r="Y50" s="129"/>
      <c r="Z50" s="129"/>
      <c r="AA50" s="129"/>
      <c r="AB50" s="129"/>
      <c r="AC50" s="130"/>
      <c r="AD50" s="44">
        <f>AVERAGE(Q50,R50)</f>
        <v>87.5</v>
      </c>
    </row>
    <row r="51" spans="2:30" ht="31.5" x14ac:dyDescent="0.25">
      <c r="B51" s="8" t="s">
        <v>89</v>
      </c>
      <c r="C51" s="8" t="s">
        <v>425</v>
      </c>
      <c r="D51" s="8" t="s">
        <v>70</v>
      </c>
      <c r="E51" s="18"/>
      <c r="F51" s="18"/>
      <c r="G51" s="18"/>
      <c r="H51" s="18"/>
      <c r="I51" s="18"/>
      <c r="J51" s="18"/>
      <c r="K51" s="18"/>
      <c r="L51" s="18"/>
      <c r="M51" s="18"/>
      <c r="N51" s="18"/>
      <c r="O51" s="18"/>
      <c r="P51" s="74">
        <v>15</v>
      </c>
      <c r="Q51" s="19">
        <v>35</v>
      </c>
      <c r="R51" s="74">
        <v>65</v>
      </c>
      <c r="S51" s="25">
        <f>(50.5*1/100)+(50.5)</f>
        <v>51.005000000000003</v>
      </c>
      <c r="T51" s="18"/>
      <c r="U51" s="67">
        <f>AVERAGE(P51:S51)</f>
        <v>41.501249999999999</v>
      </c>
      <c r="V51" s="67">
        <f>_xlfn.STDEV.P(P51:S51)</f>
        <v>18.621862277642911</v>
      </c>
      <c r="W51" s="68">
        <f t="shared" ref="W51" si="80">U51-V51</f>
        <v>22.879387722357087</v>
      </c>
      <c r="X51" s="68">
        <f t="shared" ref="X51" si="81">U51+V51</f>
        <v>60.12311227764291</v>
      </c>
      <c r="Y51" s="69">
        <f>AVERAGE(Q51,S51)</f>
        <v>43.002499999999998</v>
      </c>
      <c r="Z51" s="69">
        <f>MEDIAN(Q51,S51)</f>
        <v>43.002499999999998</v>
      </c>
      <c r="AA51" s="70">
        <f>_xlfn.STDEV.P(Q51,S51)</f>
        <v>8.0025000000000155</v>
      </c>
      <c r="AB51" s="71">
        <f t="shared" ref="AB51" si="82">AA51/Y51</f>
        <v>0.18609383175396815</v>
      </c>
      <c r="AC51" s="70" t="str">
        <f t="shared" ref="AC51" si="83">IF(AB51&lt;25%,"Média",IF(AB51&gt;=25%,"Mediana"))</f>
        <v>Média</v>
      </c>
      <c r="AD51" s="44">
        <f>Y51</f>
        <v>43.002499999999998</v>
      </c>
    </row>
    <row r="52" spans="2:30" ht="220.5" x14ac:dyDescent="0.25">
      <c r="B52" s="8" t="s">
        <v>92</v>
      </c>
      <c r="C52" s="8" t="s">
        <v>426</v>
      </c>
      <c r="D52" s="8" t="s">
        <v>70</v>
      </c>
      <c r="E52" s="18"/>
      <c r="F52" s="18"/>
      <c r="G52" s="18"/>
      <c r="H52" s="18"/>
      <c r="I52" s="18"/>
      <c r="J52" s="18"/>
      <c r="K52" s="18"/>
      <c r="L52" s="19">
        <v>50</v>
      </c>
      <c r="M52" s="72">
        <v>84</v>
      </c>
      <c r="N52" s="19">
        <v>20</v>
      </c>
      <c r="O52" s="18"/>
      <c r="P52" s="25">
        <v>20</v>
      </c>
      <c r="Q52" s="18"/>
      <c r="R52" s="18"/>
      <c r="S52" s="18"/>
      <c r="T52" s="18"/>
      <c r="U52" s="67">
        <f>AVERAGE(L52:N52,P52)</f>
        <v>43.5</v>
      </c>
      <c r="V52" s="67">
        <f>_xlfn.STDEV.P(L52:N52,P52)</f>
        <v>26.396022427631024</v>
      </c>
      <c r="W52" s="68">
        <f t="shared" ref="W52" si="84">U52-V52</f>
        <v>17.103977572368976</v>
      </c>
      <c r="X52" s="68">
        <f t="shared" ref="X52" si="85">U52+V52</f>
        <v>69.896022427631024</v>
      </c>
      <c r="Y52" s="69">
        <f>AVERAGE(L52,N52,P52)</f>
        <v>30</v>
      </c>
      <c r="Z52" s="69">
        <f>MEDIAN(L52,N52,P52)</f>
        <v>20</v>
      </c>
      <c r="AA52" s="70">
        <f>_xlfn.STDEV.P(L52,N52,P52)</f>
        <v>14.142135623730951</v>
      </c>
      <c r="AB52" s="71">
        <f t="shared" ref="AB52" si="86">AA52/Y52</f>
        <v>0.47140452079103168</v>
      </c>
      <c r="AC52" s="70" t="str">
        <f t="shared" ref="AC52" si="87">IF(AB52&lt;25%,"Média",IF(AB52&gt;=25%,"Mediana"))</f>
        <v>Mediana</v>
      </c>
      <c r="AD52" s="44">
        <f>Z52</f>
        <v>20</v>
      </c>
    </row>
    <row r="53" spans="2:30" ht="189" x14ac:dyDescent="0.25">
      <c r="B53" s="8" t="s">
        <v>95</v>
      </c>
      <c r="C53" s="8" t="s">
        <v>427</v>
      </c>
      <c r="D53" s="8" t="s">
        <v>70</v>
      </c>
      <c r="E53" s="18"/>
      <c r="F53" s="18"/>
      <c r="G53" s="18"/>
      <c r="H53" s="18"/>
      <c r="I53" s="18"/>
      <c r="J53" s="18"/>
      <c r="K53" s="19">
        <v>32</v>
      </c>
      <c r="L53" s="19">
        <v>40</v>
      </c>
      <c r="M53" s="72">
        <v>50</v>
      </c>
      <c r="N53" s="19">
        <v>40</v>
      </c>
      <c r="O53" s="72">
        <v>25</v>
      </c>
      <c r="P53" s="25">
        <v>42</v>
      </c>
      <c r="Q53" s="18"/>
      <c r="R53" s="18"/>
      <c r="S53" s="18"/>
      <c r="T53" s="18"/>
      <c r="U53" s="67">
        <f>AVERAGE(K53:P53)</f>
        <v>38.166666666666664</v>
      </c>
      <c r="V53" s="67">
        <f>_xlfn.STDEV.P(K53:P53)</f>
        <v>7.8828223935903114</v>
      </c>
      <c r="W53" s="68">
        <f t="shared" ref="W53" si="88">U53-V53</f>
        <v>30.283844273076355</v>
      </c>
      <c r="X53" s="68">
        <f t="shared" ref="X53" si="89">U53+V53</f>
        <v>46.049489060256974</v>
      </c>
      <c r="Y53" s="69">
        <f>AVERAGE(K53:L53,N53,P53)</f>
        <v>38.5</v>
      </c>
      <c r="Z53" s="69">
        <f>MEDIAN(K53:L53,N53,P53)</f>
        <v>40</v>
      </c>
      <c r="AA53" s="70">
        <f>_xlfn.STDEV.P(K53:L53,N53,P53)</f>
        <v>3.8405728739343039</v>
      </c>
      <c r="AB53" s="71">
        <f t="shared" ref="AB53" si="90">AA53/Y53</f>
        <v>9.9755139582709193E-2</v>
      </c>
      <c r="AC53" s="70" t="str">
        <f t="shared" ref="AC53" si="91">IF(AB53&lt;25%,"Média",IF(AB53&gt;=25%,"Mediana"))</f>
        <v>Média</v>
      </c>
      <c r="AD53" s="44">
        <f>Y53</f>
        <v>38.5</v>
      </c>
    </row>
    <row r="54" spans="2:30" ht="31.5" x14ac:dyDescent="0.25">
      <c r="B54" s="8" t="s">
        <v>98</v>
      </c>
      <c r="C54" s="8" t="s">
        <v>99</v>
      </c>
      <c r="D54" s="8" t="s">
        <v>7</v>
      </c>
      <c r="E54" s="18"/>
      <c r="F54" s="18"/>
      <c r="G54" s="18"/>
      <c r="H54" s="18"/>
      <c r="I54" s="18"/>
      <c r="J54" s="36">
        <v>80</v>
      </c>
      <c r="K54" s="18"/>
      <c r="L54" s="19">
        <v>5</v>
      </c>
      <c r="M54" s="18"/>
      <c r="N54" s="19">
        <v>10</v>
      </c>
      <c r="O54" s="18"/>
      <c r="P54" s="18"/>
      <c r="Q54" s="18"/>
      <c r="R54" s="18"/>
      <c r="S54" s="18"/>
      <c r="T54" s="18"/>
      <c r="U54" s="131" t="s">
        <v>810</v>
      </c>
      <c r="V54" s="132"/>
      <c r="W54" s="132"/>
      <c r="X54" s="132"/>
      <c r="Y54" s="132"/>
      <c r="Z54" s="132"/>
      <c r="AA54" s="132"/>
      <c r="AB54" s="132"/>
      <c r="AC54" s="133"/>
      <c r="AD54" s="44">
        <f>AVERAGE(L54,N54)</f>
        <v>7.5</v>
      </c>
    </row>
    <row r="55" spans="2:30" ht="63" x14ac:dyDescent="0.25">
      <c r="B55" s="8" t="s">
        <v>101</v>
      </c>
      <c r="C55" s="8" t="s">
        <v>102</v>
      </c>
      <c r="D55" s="8" t="s">
        <v>70</v>
      </c>
      <c r="E55" s="18"/>
      <c r="F55" s="18"/>
      <c r="G55" s="18"/>
      <c r="H55" s="18"/>
      <c r="I55" s="18"/>
      <c r="J55" s="18"/>
      <c r="K55" s="18"/>
      <c r="L55" s="18"/>
      <c r="M55" s="18"/>
      <c r="N55" s="18"/>
      <c r="O55" s="18"/>
      <c r="P55" s="18"/>
      <c r="Q55" s="19">
        <v>10</v>
      </c>
      <c r="R55" s="18"/>
      <c r="S55" s="18"/>
      <c r="T55" s="18"/>
      <c r="U55" s="128" t="s">
        <v>796</v>
      </c>
      <c r="V55" s="129"/>
      <c r="W55" s="129"/>
      <c r="X55" s="129"/>
      <c r="Y55" s="129"/>
      <c r="Z55" s="129"/>
      <c r="AA55" s="129"/>
      <c r="AB55" s="129"/>
      <c r="AC55" s="130"/>
      <c r="AD55" s="44">
        <f>Q55</f>
        <v>10</v>
      </c>
    </row>
    <row r="56" spans="2:30" ht="110.25" x14ac:dyDescent="0.25">
      <c r="B56" s="8" t="s">
        <v>104</v>
      </c>
      <c r="C56" s="8" t="s">
        <v>428</v>
      </c>
      <c r="D56" s="8" t="s">
        <v>70</v>
      </c>
      <c r="E56" s="18"/>
      <c r="F56" s="18"/>
      <c r="G56" s="18"/>
      <c r="H56" s="18"/>
      <c r="I56" s="18"/>
      <c r="J56" s="19">
        <v>1400</v>
      </c>
      <c r="K56" s="22"/>
      <c r="L56" s="19">
        <v>450</v>
      </c>
      <c r="M56" s="72">
        <v>1500</v>
      </c>
      <c r="N56" s="22"/>
      <c r="O56" s="18"/>
      <c r="P56" s="18"/>
      <c r="Q56" s="72">
        <v>140</v>
      </c>
      <c r="R56" s="18"/>
      <c r="S56" s="18"/>
      <c r="T56" s="18"/>
      <c r="U56" s="67">
        <f>AVERAGE(J56,L56:M56,Q56)</f>
        <v>872.5</v>
      </c>
      <c r="V56" s="67">
        <f>_xlfn.STDEV.P(J56,L56:M56,Q56)</f>
        <v>588.87074133463284</v>
      </c>
      <c r="W56" s="68">
        <f t="shared" ref="W56" si="92">U56-V56</f>
        <v>283.62925866536716</v>
      </c>
      <c r="X56" s="68">
        <f t="shared" ref="X56" si="93">U56+V56</f>
        <v>1461.3707413346328</v>
      </c>
      <c r="Y56" s="69">
        <f>AVERAGE(J56,L56)</f>
        <v>925</v>
      </c>
      <c r="Z56" s="69">
        <f>MEDIAN(J56,L56)</f>
        <v>925</v>
      </c>
      <c r="AA56" s="70">
        <f>_xlfn.STDEV.P(J56,L56)</f>
        <v>475</v>
      </c>
      <c r="AB56" s="71">
        <f t="shared" ref="AB56" si="94">AA56/Y56</f>
        <v>0.51351351351351349</v>
      </c>
      <c r="AC56" s="70" t="str">
        <f t="shared" ref="AC56" si="95">IF(AB56&lt;25%,"Média",IF(AB56&gt;=25%,"Mediana"))</f>
        <v>Mediana</v>
      </c>
      <c r="AD56" s="44">
        <f>Z56</f>
        <v>925</v>
      </c>
    </row>
    <row r="57" spans="2:30" ht="94.5" x14ac:dyDescent="0.25">
      <c r="B57" s="8" t="s">
        <v>429</v>
      </c>
      <c r="C57" s="8" t="s">
        <v>430</v>
      </c>
      <c r="D57" s="8" t="s">
        <v>70</v>
      </c>
      <c r="E57" s="18"/>
      <c r="F57" s="18"/>
      <c r="G57" s="18"/>
      <c r="H57" s="18"/>
      <c r="I57" s="18"/>
      <c r="J57" s="19">
        <v>2000</v>
      </c>
      <c r="K57" s="18"/>
      <c r="L57" s="18"/>
      <c r="M57" s="18"/>
      <c r="N57" s="18"/>
      <c r="O57" s="18"/>
      <c r="P57" s="72">
        <v>500</v>
      </c>
      <c r="Q57" s="19">
        <v>2200</v>
      </c>
      <c r="R57" s="18"/>
      <c r="S57" s="18"/>
      <c r="T57" s="18"/>
      <c r="U57" s="67">
        <f>AVERAGE(J57,P57,Q57)</f>
        <v>1566.6666666666667</v>
      </c>
      <c r="V57" s="67">
        <f>_xlfn.STDEV.P(J57,P57,Q57)</f>
        <v>758.65377844940281</v>
      </c>
      <c r="W57" s="68">
        <f t="shared" ref="W57" si="96">U57-V57</f>
        <v>808.01288821726394</v>
      </c>
      <c r="X57" s="68">
        <f t="shared" ref="X57" si="97">U57+V57</f>
        <v>2325.3204451160695</v>
      </c>
      <c r="Y57" s="69">
        <f>AVERAGE(Q57,J57)</f>
        <v>2100</v>
      </c>
      <c r="Z57" s="69">
        <f>MEDIAN(Q57,J57)</f>
        <v>2100</v>
      </c>
      <c r="AA57" s="70">
        <f>_xlfn.STDEV.P(Q57,J57)</f>
        <v>100</v>
      </c>
      <c r="AB57" s="71">
        <f t="shared" ref="AB57" si="98">AA57/Y57</f>
        <v>4.7619047619047616E-2</v>
      </c>
      <c r="AC57" s="70" t="str">
        <f t="shared" ref="AC57" si="99">IF(AB57&lt;25%,"Média",IF(AB57&gt;=25%,"Mediana"))</f>
        <v>Média</v>
      </c>
      <c r="AD57" s="44">
        <f>Y57</f>
        <v>2100</v>
      </c>
    </row>
    <row r="58" spans="2:30" ht="173.25" x14ac:dyDescent="0.25">
      <c r="B58" s="8" t="s">
        <v>107</v>
      </c>
      <c r="C58" s="8" t="s">
        <v>108</v>
      </c>
      <c r="D58" s="8" t="s">
        <v>70</v>
      </c>
      <c r="E58" s="18"/>
      <c r="F58" s="18"/>
      <c r="G58" s="18"/>
      <c r="H58" s="18"/>
      <c r="I58" s="18"/>
      <c r="J58" s="18"/>
      <c r="K58" s="18"/>
      <c r="L58" s="18"/>
      <c r="M58" s="18"/>
      <c r="N58" s="18"/>
      <c r="O58" s="18"/>
      <c r="P58" s="18"/>
      <c r="Q58" s="19">
        <v>60</v>
      </c>
      <c r="R58" s="18"/>
      <c r="S58" s="19">
        <f>(85.81*1/100)+(85.81)</f>
        <v>86.668099999999995</v>
      </c>
      <c r="T58" s="18"/>
      <c r="U58" s="128" t="s">
        <v>811</v>
      </c>
      <c r="V58" s="129"/>
      <c r="W58" s="129"/>
      <c r="X58" s="129"/>
      <c r="Y58" s="129"/>
      <c r="Z58" s="129"/>
      <c r="AA58" s="129"/>
      <c r="AB58" s="129"/>
      <c r="AC58" s="130"/>
      <c r="AD58" s="44">
        <f>AVERAGE(Q58,S58)</f>
        <v>73.334049999999991</v>
      </c>
    </row>
    <row r="59" spans="2:30" ht="220.5" x14ac:dyDescent="0.25">
      <c r="B59" s="8" t="s">
        <v>110</v>
      </c>
      <c r="C59" s="8" t="s">
        <v>111</v>
      </c>
      <c r="D59" s="8" t="s">
        <v>112</v>
      </c>
      <c r="E59" s="72">
        <v>90</v>
      </c>
      <c r="F59" s="18"/>
      <c r="G59" s="36">
        <v>4000</v>
      </c>
      <c r="H59" s="18"/>
      <c r="I59" s="72">
        <v>1200</v>
      </c>
      <c r="J59" s="18"/>
      <c r="K59" s="18"/>
      <c r="L59" s="22"/>
      <c r="M59" s="16">
        <v>500</v>
      </c>
      <c r="N59" s="22"/>
      <c r="O59" s="18"/>
      <c r="P59" s="74">
        <v>5</v>
      </c>
      <c r="Q59" s="72">
        <v>15</v>
      </c>
      <c r="R59" s="18"/>
      <c r="S59" s="18"/>
      <c r="T59" s="18"/>
      <c r="U59" s="67">
        <f>AVERAGE(E59,I59,M59,P59,Q59)</f>
        <v>362</v>
      </c>
      <c r="V59" s="67">
        <f>_xlfn.STDEV.P(E59,I59,M59,P59,Q59)</f>
        <v>456.75595234216706</v>
      </c>
      <c r="W59" s="68">
        <f t="shared" ref="W59" si="100">U59-V59</f>
        <v>-94.755952342167063</v>
      </c>
      <c r="X59" s="68">
        <f t="shared" ref="X59" si="101">U59+V59</f>
        <v>818.75595234216712</v>
      </c>
      <c r="Y59" s="69">
        <f>AVERAGE(M59)</f>
        <v>500</v>
      </c>
      <c r="Z59" s="69">
        <f>MEDIAN(M59)</f>
        <v>500</v>
      </c>
      <c r="AA59" s="70">
        <f>_xlfn.STDEV.P(M59)</f>
        <v>0</v>
      </c>
      <c r="AB59" s="71">
        <f t="shared" ref="AB59" si="102">AA59/Y59</f>
        <v>0</v>
      </c>
      <c r="AC59" s="70" t="str">
        <f t="shared" ref="AC59" si="103">IF(AB59&lt;25%,"Média",IF(AB59&gt;=25%,"Mediana"))</f>
        <v>Média</v>
      </c>
      <c r="AD59" s="44">
        <f>Y59</f>
        <v>500</v>
      </c>
    </row>
    <row r="60" spans="2:30" ht="35.25" customHeight="1" x14ac:dyDescent="0.25">
      <c r="B60" s="8" t="s">
        <v>118</v>
      </c>
      <c r="C60" s="8" t="s">
        <v>119</v>
      </c>
      <c r="D60" s="8" t="s">
        <v>70</v>
      </c>
      <c r="E60" s="18"/>
      <c r="F60" s="19">
        <v>110</v>
      </c>
      <c r="G60" s="36">
        <v>280</v>
      </c>
      <c r="H60" s="19">
        <v>100</v>
      </c>
      <c r="I60" s="36">
        <v>330</v>
      </c>
      <c r="J60" s="18"/>
      <c r="K60" s="18"/>
      <c r="L60" s="18"/>
      <c r="M60" s="18"/>
      <c r="N60" s="18"/>
      <c r="O60" s="18"/>
      <c r="P60" s="18"/>
      <c r="Q60" s="18"/>
      <c r="R60" s="18"/>
      <c r="S60" s="18"/>
      <c r="T60" s="18"/>
      <c r="U60" s="131" t="s">
        <v>812</v>
      </c>
      <c r="V60" s="132"/>
      <c r="W60" s="132"/>
      <c r="X60" s="132"/>
      <c r="Y60" s="132"/>
      <c r="Z60" s="132"/>
      <c r="AA60" s="132"/>
      <c r="AB60" s="132"/>
      <c r="AC60" s="133"/>
      <c r="AD60" s="44">
        <f>AVERAGE(F60,H60)</f>
        <v>105</v>
      </c>
    </row>
    <row r="61" spans="2:30" ht="31.5" x14ac:dyDescent="0.25">
      <c r="B61" s="8" t="s">
        <v>124</v>
      </c>
      <c r="C61" s="8" t="s">
        <v>431</v>
      </c>
      <c r="D61" s="8" t="s">
        <v>70</v>
      </c>
      <c r="E61" s="18"/>
      <c r="F61" s="18"/>
      <c r="G61" s="18"/>
      <c r="H61" s="18"/>
      <c r="I61" s="18"/>
      <c r="J61" s="36">
        <v>80</v>
      </c>
      <c r="K61" s="19">
        <v>30</v>
      </c>
      <c r="L61" s="18"/>
      <c r="M61" s="19">
        <v>30</v>
      </c>
      <c r="N61" s="72">
        <v>15</v>
      </c>
      <c r="O61" s="19">
        <v>20</v>
      </c>
      <c r="P61" s="28"/>
      <c r="Q61" s="18"/>
      <c r="R61" s="18"/>
      <c r="S61" s="18"/>
      <c r="T61" s="18"/>
      <c r="U61" s="67">
        <f>AVERAGE(K61,M61:O61)</f>
        <v>23.75</v>
      </c>
      <c r="V61" s="67">
        <f>_xlfn.STDEV.P(K61,M61:O61)</f>
        <v>6.49519052838329</v>
      </c>
      <c r="W61" s="68">
        <f t="shared" ref="W61" si="104">U61-V61</f>
        <v>17.25480947161671</v>
      </c>
      <c r="X61" s="68">
        <f t="shared" ref="X61" si="105">U61+V61</f>
        <v>30.24519052838329</v>
      </c>
      <c r="Y61" s="69">
        <f>AVERAGE(K61,M61,O61)</f>
        <v>26.666666666666668</v>
      </c>
      <c r="Z61" s="69">
        <f>MEDIAN(K61,M61,O61)</f>
        <v>30</v>
      </c>
      <c r="AA61" s="70">
        <f>_xlfn.STDEV.P(K61,M61,O61)</f>
        <v>4.714045207910317</v>
      </c>
      <c r="AB61" s="71">
        <f t="shared" ref="AB61" si="106">AA61/Y61</f>
        <v>0.17677669529663689</v>
      </c>
      <c r="AC61" s="70" t="str">
        <f t="shared" ref="AC61" si="107">IF(AB61&lt;25%,"Média",IF(AB61&gt;=25%,"Mediana"))</f>
        <v>Média</v>
      </c>
      <c r="AD61" s="44">
        <f>Y61</f>
        <v>26.666666666666668</v>
      </c>
    </row>
    <row r="62" spans="2:30" ht="47.25" x14ac:dyDescent="0.25">
      <c r="B62" s="8" t="s">
        <v>121</v>
      </c>
      <c r="C62" s="8" t="s">
        <v>122</v>
      </c>
      <c r="D62" s="8" t="s">
        <v>70</v>
      </c>
      <c r="E62" s="18"/>
      <c r="F62" s="18"/>
      <c r="G62" s="18"/>
      <c r="H62" s="18"/>
      <c r="I62" s="18"/>
      <c r="J62" s="36">
        <v>120</v>
      </c>
      <c r="K62" s="19">
        <v>30</v>
      </c>
      <c r="L62" s="18"/>
      <c r="M62" s="19">
        <v>30</v>
      </c>
      <c r="N62" s="72">
        <v>15</v>
      </c>
      <c r="O62" s="19">
        <v>30</v>
      </c>
      <c r="P62" s="25">
        <v>22</v>
      </c>
      <c r="Q62" s="18"/>
      <c r="R62" s="18"/>
      <c r="S62" s="18"/>
      <c r="T62" s="18"/>
      <c r="U62" s="67">
        <f>AVERAGE(K62,M62:P62)</f>
        <v>25.4</v>
      </c>
      <c r="V62" s="67">
        <f>_xlfn.STDEV.P(K62,M62:P62)</f>
        <v>6.0530983801686222</v>
      </c>
      <c r="W62" s="68">
        <f t="shared" ref="W62" si="108">U62-V62</f>
        <v>19.346901619831378</v>
      </c>
      <c r="X62" s="68">
        <f t="shared" ref="X62" si="109">U62+V62</f>
        <v>31.453098380168619</v>
      </c>
      <c r="Y62" s="69">
        <f>AVERAGE(K62,M62,O62,P62)</f>
        <v>28</v>
      </c>
      <c r="Z62" s="69">
        <f>MEDIAN(K62,M62,O62,P62)</f>
        <v>30</v>
      </c>
      <c r="AA62" s="70">
        <f>_xlfn.STDEV.P(K62,M62,O62,P62)</f>
        <v>3.4641016151377544</v>
      </c>
      <c r="AB62" s="71">
        <f t="shared" ref="AB62" si="110">AA62/Y62</f>
        <v>0.12371791482634838</v>
      </c>
      <c r="AC62" s="70" t="str">
        <f t="shared" ref="AC62" si="111">IF(AB62&lt;25%,"Média",IF(AB62&gt;=25%,"Mediana"))</f>
        <v>Média</v>
      </c>
      <c r="AD62" s="44">
        <f>Y62</f>
        <v>28</v>
      </c>
    </row>
    <row r="63" spans="2:30" ht="15.75" x14ac:dyDescent="0.25">
      <c r="B63" s="8" t="s">
        <v>121</v>
      </c>
      <c r="C63" s="8" t="s">
        <v>690</v>
      </c>
      <c r="D63" s="8"/>
      <c r="E63" s="18"/>
      <c r="F63" s="18"/>
      <c r="G63" s="18"/>
      <c r="H63" s="18"/>
      <c r="I63" s="18"/>
      <c r="J63" s="18"/>
      <c r="K63" s="18"/>
      <c r="L63" s="72">
        <v>30</v>
      </c>
      <c r="M63" s="72">
        <v>15</v>
      </c>
      <c r="N63" s="18"/>
      <c r="O63" s="18"/>
      <c r="P63" s="25">
        <v>22</v>
      </c>
      <c r="Q63" s="18"/>
      <c r="R63" s="18"/>
      <c r="S63" s="18"/>
      <c r="T63" s="18"/>
      <c r="U63" s="67">
        <f>AVERAGE(L63:M63,P63)</f>
        <v>22.333333333333332</v>
      </c>
      <c r="V63" s="67">
        <f>_xlfn.STDEV.P(L63:M63,P63)</f>
        <v>6.1282587702834119</v>
      </c>
      <c r="W63" s="68">
        <f t="shared" ref="W63" si="112">U63-V63</f>
        <v>16.205074563049919</v>
      </c>
      <c r="X63" s="68">
        <f t="shared" ref="X63" si="113">U63+V63</f>
        <v>28.461592103616745</v>
      </c>
      <c r="Y63" s="69">
        <f>AVERAGE(P63)</f>
        <v>22</v>
      </c>
      <c r="Z63" s="69">
        <f>MEDIAN(P63)</f>
        <v>22</v>
      </c>
      <c r="AA63" s="70">
        <f>_xlfn.STDEV.P(P63)</f>
        <v>0</v>
      </c>
      <c r="AB63" s="71">
        <f t="shared" ref="AB63" si="114">AA63/Y63</f>
        <v>0</v>
      </c>
      <c r="AC63" s="70" t="str">
        <f t="shared" ref="AC63" si="115">IF(AB63&lt;25%,"Média",IF(AB63&gt;=25%,"Mediana"))</f>
        <v>Média</v>
      </c>
      <c r="AD63" s="44">
        <f>Y63</f>
        <v>22</v>
      </c>
    </row>
    <row r="64" spans="2:30" ht="15.75" x14ac:dyDescent="0.25">
      <c r="B64" s="8" t="s">
        <v>124</v>
      </c>
      <c r="C64" s="8" t="s">
        <v>125</v>
      </c>
      <c r="D64" s="8" t="s">
        <v>70</v>
      </c>
      <c r="E64" s="18"/>
      <c r="F64" s="18"/>
      <c r="G64" s="18"/>
      <c r="H64" s="18"/>
      <c r="I64" s="18"/>
      <c r="J64" s="38">
        <v>80</v>
      </c>
      <c r="K64" s="18"/>
      <c r="L64" s="18"/>
      <c r="M64" s="75">
        <v>30</v>
      </c>
      <c r="N64" s="72">
        <v>15</v>
      </c>
      <c r="O64" s="19">
        <v>22</v>
      </c>
      <c r="P64" s="25">
        <v>21</v>
      </c>
      <c r="Q64" s="18"/>
      <c r="R64" s="18"/>
      <c r="S64" s="18"/>
      <c r="T64" s="18"/>
      <c r="U64" s="67">
        <f>AVERAGE(M64:P64)</f>
        <v>22</v>
      </c>
      <c r="V64" s="67">
        <f>_xlfn.STDEV.P(M64:P64)</f>
        <v>5.3385391260156556</v>
      </c>
      <c r="W64" s="68">
        <f t="shared" ref="W64" si="116">U64-V64</f>
        <v>16.661460873984346</v>
      </c>
      <c r="X64" s="68">
        <f t="shared" ref="X64" si="117">U64+V64</f>
        <v>27.338539126015654</v>
      </c>
      <c r="Y64" s="69">
        <f>AVERAGE(O64:P64)</f>
        <v>21.5</v>
      </c>
      <c r="Z64" s="69">
        <f>MEDIAN(O64:P64)</f>
        <v>21.5</v>
      </c>
      <c r="AA64" s="70">
        <f>_xlfn.STDEV.P(O64:P64)</f>
        <v>0.5</v>
      </c>
      <c r="AB64" s="71">
        <f t="shared" ref="AB64" si="118">AA64/Y64</f>
        <v>2.3255813953488372E-2</v>
      </c>
      <c r="AC64" s="70" t="str">
        <f t="shared" ref="AC64" si="119">IF(AB64&lt;25%,"Média",IF(AB64&gt;=25%,"Mediana"))</f>
        <v>Média</v>
      </c>
      <c r="AD64" s="43">
        <f>Y64</f>
        <v>21.5</v>
      </c>
    </row>
    <row r="65" spans="2:30" ht="141.75" x14ac:dyDescent="0.25">
      <c r="B65" s="8" t="s">
        <v>432</v>
      </c>
      <c r="C65" s="8" t="s">
        <v>433</v>
      </c>
      <c r="D65" s="8" t="s">
        <v>224</v>
      </c>
      <c r="E65" s="18"/>
      <c r="F65" s="18"/>
      <c r="G65" s="18"/>
      <c r="H65" s="18"/>
      <c r="I65" s="18"/>
      <c r="J65" s="36">
        <f>3000/5</f>
        <v>600</v>
      </c>
      <c r="K65" s="18"/>
      <c r="L65" s="18"/>
      <c r="M65" s="18"/>
      <c r="N65" s="72">
        <v>80</v>
      </c>
      <c r="O65" s="72">
        <v>244</v>
      </c>
      <c r="P65" s="25">
        <v>190.72</v>
      </c>
      <c r="Q65" s="19">
        <v>100</v>
      </c>
      <c r="R65" s="18"/>
      <c r="S65" s="18"/>
      <c r="T65" s="18"/>
      <c r="U65" s="67">
        <f>AVERAGE(N65:Q65)</f>
        <v>153.68</v>
      </c>
      <c r="V65" s="67">
        <f>_xlfn.STDEV.P(N65:Q65)</f>
        <v>66.783135595747524</v>
      </c>
      <c r="W65" s="68">
        <f t="shared" ref="W65" si="120">U65-V65</f>
        <v>86.896864404252483</v>
      </c>
      <c r="X65" s="68">
        <f t="shared" ref="X65" si="121">U65+V65</f>
        <v>220.46313559574753</v>
      </c>
      <c r="Y65" s="69">
        <f>AVERAGE(P65:Q65)</f>
        <v>145.36000000000001</v>
      </c>
      <c r="Z65" s="69">
        <f>MEDIAN(P65:Q65)</f>
        <v>145.36000000000001</v>
      </c>
      <c r="AA65" s="70">
        <f>_xlfn.STDEV.P(P65:Q65)</f>
        <v>45.359999999999935</v>
      </c>
      <c r="AB65" s="71">
        <f t="shared" ref="AB65" si="122">AA65/Y65</f>
        <v>0.31205283434232206</v>
      </c>
      <c r="AC65" s="70" t="str">
        <f t="shared" ref="AC65" si="123">IF(AB65&lt;25%,"Média",IF(AB65&gt;=25%,"Mediana"))</f>
        <v>Mediana</v>
      </c>
      <c r="AD65" s="44">
        <f>Z65</f>
        <v>145.36000000000001</v>
      </c>
    </row>
    <row r="66" spans="2:30" ht="78.75" x14ac:dyDescent="0.25">
      <c r="B66" s="8" t="s">
        <v>127</v>
      </c>
      <c r="C66" s="8" t="s">
        <v>434</v>
      </c>
      <c r="D66" s="8" t="s">
        <v>435</v>
      </c>
      <c r="E66" s="18"/>
      <c r="F66" s="18"/>
      <c r="G66" s="18"/>
      <c r="H66" s="18"/>
      <c r="I66" s="18"/>
      <c r="J66" s="18"/>
      <c r="K66" s="18"/>
      <c r="L66" s="18"/>
      <c r="M66" s="18"/>
      <c r="N66" s="19">
        <v>30</v>
      </c>
      <c r="O66" s="36">
        <v>80</v>
      </c>
      <c r="P66" s="19">
        <v>30</v>
      </c>
      <c r="Q66" s="72">
        <v>20</v>
      </c>
      <c r="R66" s="40">
        <v>86.17</v>
      </c>
      <c r="S66" s="72">
        <f>(50*1/100)+(50)</f>
        <v>50.5</v>
      </c>
      <c r="T66" s="22"/>
      <c r="U66" s="67">
        <f>AVERAGE(N66,P66:Q66,S66)</f>
        <v>32.625</v>
      </c>
      <c r="V66" s="67">
        <f>_xlfn.STDEV.P(N66,P66:Q66,S66)</f>
        <v>11.098282524787338</v>
      </c>
      <c r="W66" s="68">
        <f t="shared" ref="W66" si="124">U66-V66</f>
        <v>21.526717475212664</v>
      </c>
      <c r="X66" s="68">
        <f t="shared" ref="X66" si="125">U66+V66</f>
        <v>43.723282524787336</v>
      </c>
      <c r="Y66" s="69">
        <f>AVERAGE(N66,P66)</f>
        <v>30</v>
      </c>
      <c r="Z66" s="69">
        <f>MEDIAN(N66,P66)</f>
        <v>30</v>
      </c>
      <c r="AA66" s="70">
        <f>_xlfn.STDEV.P(P66:Q66)</f>
        <v>5</v>
      </c>
      <c r="AB66" s="71">
        <f t="shared" ref="AB66" si="126">AA66/Y66</f>
        <v>0.16666666666666666</v>
      </c>
      <c r="AC66" s="70" t="str">
        <f t="shared" ref="AC66" si="127">IF(AB66&lt;25%,"Média",IF(AB66&gt;=25%,"Mediana"))</f>
        <v>Média</v>
      </c>
      <c r="AD66" s="44">
        <f>Y66</f>
        <v>30</v>
      </c>
    </row>
    <row r="67" spans="2:30" ht="110.25" x14ac:dyDescent="0.25">
      <c r="B67" s="8" t="s">
        <v>130</v>
      </c>
      <c r="C67" s="8" t="s">
        <v>131</v>
      </c>
      <c r="D67" s="8" t="s">
        <v>70</v>
      </c>
      <c r="E67" s="18"/>
      <c r="F67" s="18"/>
      <c r="G67" s="18"/>
      <c r="H67" s="18"/>
      <c r="I67" s="18"/>
      <c r="J67" s="18"/>
      <c r="K67" s="18"/>
      <c r="L67" s="18"/>
      <c r="M67" s="18"/>
      <c r="N67" s="18"/>
      <c r="O67" s="18"/>
      <c r="P67" s="18"/>
      <c r="Q67" s="19">
        <v>2.4</v>
      </c>
      <c r="R67" s="18"/>
      <c r="S67" s="19">
        <f>(2*1/100)+(2)</f>
        <v>2.02</v>
      </c>
      <c r="T67" s="22"/>
      <c r="U67" s="128" t="s">
        <v>811</v>
      </c>
      <c r="V67" s="129"/>
      <c r="W67" s="129"/>
      <c r="X67" s="129"/>
      <c r="Y67" s="129"/>
      <c r="Z67" s="129"/>
      <c r="AA67" s="129"/>
      <c r="AB67" s="129"/>
      <c r="AC67" s="130"/>
      <c r="AD67" s="44">
        <f>AVERAGE(Q67,S67)</f>
        <v>2.21</v>
      </c>
    </row>
    <row r="68" spans="2:30" ht="157.5" x14ac:dyDescent="0.25">
      <c r="B68" s="8" t="s">
        <v>133</v>
      </c>
      <c r="C68" s="8" t="s">
        <v>436</v>
      </c>
      <c r="D68" s="8" t="s">
        <v>70</v>
      </c>
      <c r="E68" s="18"/>
      <c r="F68" s="18"/>
      <c r="G68" s="18"/>
      <c r="H68" s="18"/>
      <c r="I68" s="18"/>
      <c r="J68" s="18"/>
      <c r="K68" s="16">
        <v>5</v>
      </c>
      <c r="L68" s="36">
        <v>20</v>
      </c>
      <c r="M68" s="18"/>
      <c r="N68" s="19">
        <v>5</v>
      </c>
      <c r="O68" s="18"/>
      <c r="P68" s="25">
        <v>5</v>
      </c>
      <c r="Q68" s="18"/>
      <c r="R68" s="36">
        <v>11.24</v>
      </c>
      <c r="S68" s="18"/>
      <c r="T68" s="18"/>
      <c r="U68" s="128" t="s">
        <v>813</v>
      </c>
      <c r="V68" s="129"/>
      <c r="W68" s="129"/>
      <c r="X68" s="129"/>
      <c r="Y68" s="129"/>
      <c r="Z68" s="129"/>
      <c r="AA68" s="129"/>
      <c r="AB68" s="129"/>
      <c r="AC68" s="130"/>
      <c r="AD68" s="44">
        <f>P68</f>
        <v>5</v>
      </c>
    </row>
    <row r="69" spans="2:30" ht="63" x14ac:dyDescent="0.25">
      <c r="B69" s="8" t="s">
        <v>136</v>
      </c>
      <c r="C69" s="8" t="s">
        <v>137</v>
      </c>
      <c r="D69" s="8" t="s">
        <v>70</v>
      </c>
      <c r="E69" s="18"/>
      <c r="F69" s="18"/>
      <c r="G69" s="18"/>
      <c r="H69" s="18"/>
      <c r="I69" s="18"/>
      <c r="J69" s="18"/>
      <c r="K69" s="18"/>
      <c r="L69" s="18"/>
      <c r="M69" s="18"/>
      <c r="N69" s="19">
        <v>90</v>
      </c>
      <c r="O69" s="19">
        <v>20</v>
      </c>
      <c r="P69" s="18"/>
      <c r="Q69" s="18"/>
      <c r="R69" s="18"/>
      <c r="S69" s="18"/>
      <c r="T69" s="18"/>
      <c r="U69" s="128" t="s">
        <v>811</v>
      </c>
      <c r="V69" s="129"/>
      <c r="W69" s="129"/>
      <c r="X69" s="129"/>
      <c r="Y69" s="129"/>
      <c r="Z69" s="129"/>
      <c r="AA69" s="129"/>
      <c r="AB69" s="129"/>
      <c r="AC69" s="130"/>
      <c r="AD69" s="44">
        <f>AVERAGE(N69:O69)</f>
        <v>55</v>
      </c>
    </row>
    <row r="70" spans="2:30" ht="63" customHeight="1" x14ac:dyDescent="0.25">
      <c r="B70" s="8" t="s">
        <v>136</v>
      </c>
      <c r="C70" s="8" t="s">
        <v>140</v>
      </c>
      <c r="D70" s="8" t="s">
        <v>70</v>
      </c>
      <c r="E70" s="18"/>
      <c r="F70" s="18"/>
      <c r="G70" s="18"/>
      <c r="H70" s="18"/>
      <c r="I70" s="18"/>
      <c r="J70" s="18"/>
      <c r="K70" s="18"/>
      <c r="L70" s="18"/>
      <c r="M70" s="18"/>
      <c r="N70" s="19">
        <v>120</v>
      </c>
      <c r="O70" s="19">
        <v>110</v>
      </c>
      <c r="P70" s="18"/>
      <c r="Q70" s="36">
        <v>290</v>
      </c>
      <c r="R70" s="18"/>
      <c r="S70" s="18"/>
      <c r="T70" s="18"/>
      <c r="U70" s="128" t="s">
        <v>811</v>
      </c>
      <c r="V70" s="129"/>
      <c r="W70" s="129"/>
      <c r="X70" s="129"/>
      <c r="Y70" s="129"/>
      <c r="Z70" s="129"/>
      <c r="AA70" s="129"/>
      <c r="AB70" s="129"/>
      <c r="AC70" s="130"/>
      <c r="AD70" s="44">
        <f>AVERAGE(N70:O70)</f>
        <v>115</v>
      </c>
    </row>
    <row r="71" spans="2:30" ht="63" x14ac:dyDescent="0.25">
      <c r="B71" s="8" t="s">
        <v>139</v>
      </c>
      <c r="C71" s="8" t="s">
        <v>142</v>
      </c>
      <c r="D71" s="8" t="s">
        <v>70</v>
      </c>
      <c r="E71" s="36">
        <v>300</v>
      </c>
      <c r="F71" s="36">
        <v>550</v>
      </c>
      <c r="G71" s="36">
        <v>950</v>
      </c>
      <c r="H71" s="36">
        <v>500</v>
      </c>
      <c r="I71" s="36">
        <v>550</v>
      </c>
      <c r="J71" s="36">
        <v>650</v>
      </c>
      <c r="K71" s="16">
        <v>120</v>
      </c>
      <c r="L71" s="18"/>
      <c r="M71" s="72">
        <v>250</v>
      </c>
      <c r="N71" s="22"/>
      <c r="O71" s="19">
        <v>110</v>
      </c>
      <c r="P71" s="20">
        <v>110</v>
      </c>
      <c r="Q71" s="18"/>
      <c r="R71" s="18"/>
      <c r="S71" s="18"/>
      <c r="T71" s="18"/>
      <c r="U71" s="67">
        <f>AVERAGE(K71,M71,O71:P71)</f>
        <v>147.5</v>
      </c>
      <c r="V71" s="67">
        <f>_xlfn.STDEV.P(K71,M71,O71:P71)</f>
        <v>59.319052588523363</v>
      </c>
      <c r="W71" s="68">
        <f t="shared" ref="W71" si="128">U71-V71</f>
        <v>88.180947411476637</v>
      </c>
      <c r="X71" s="68">
        <f t="shared" ref="X71" si="129">U71+V71</f>
        <v>206.81905258852336</v>
      </c>
      <c r="Y71" s="69">
        <f>AVERAGE(O71:P71,K71)</f>
        <v>113.33333333333333</v>
      </c>
      <c r="Z71" s="69">
        <f>MEDIAN(O71:P71,K71)</f>
        <v>110</v>
      </c>
      <c r="AA71" s="70">
        <f>_xlfn.STDEV.P(O71:P71,K71)</f>
        <v>4.7140452079103161</v>
      </c>
      <c r="AB71" s="71">
        <f t="shared" ref="AB71" si="130">AA71/Y71</f>
        <v>4.1594516540385144E-2</v>
      </c>
      <c r="AC71" s="70" t="str">
        <f t="shared" ref="AC71" si="131">IF(AB71&lt;25%,"Média",IF(AB71&gt;=25%,"Mediana"))</f>
        <v>Média</v>
      </c>
      <c r="AD71" s="44">
        <f>Y71</f>
        <v>113.33333333333333</v>
      </c>
    </row>
    <row r="72" spans="2:30" ht="63" x14ac:dyDescent="0.25">
      <c r="B72" s="8" t="s">
        <v>139</v>
      </c>
      <c r="C72" s="8" t="s">
        <v>144</v>
      </c>
      <c r="D72" s="8" t="s">
        <v>70</v>
      </c>
      <c r="E72" s="36">
        <v>1900</v>
      </c>
      <c r="F72" s="36">
        <v>1320</v>
      </c>
      <c r="G72" s="36">
        <v>950</v>
      </c>
      <c r="H72" s="36">
        <v>1200</v>
      </c>
      <c r="I72" s="36">
        <v>770</v>
      </c>
      <c r="J72" s="36">
        <v>2650</v>
      </c>
      <c r="K72" s="72">
        <v>400</v>
      </c>
      <c r="L72" s="18"/>
      <c r="M72" s="18"/>
      <c r="N72" s="18"/>
      <c r="O72" s="19">
        <v>145</v>
      </c>
      <c r="P72" s="20">
        <v>300</v>
      </c>
      <c r="Q72" s="19">
        <v>150</v>
      </c>
      <c r="R72" s="18"/>
      <c r="S72" s="18"/>
      <c r="T72" s="18"/>
      <c r="U72" s="67">
        <f>AVERAGE(K72,O72:Q72)</f>
        <v>248.75</v>
      </c>
      <c r="V72" s="67">
        <f>_xlfn.STDEV.P(K72,O72:Q72)</f>
        <v>107.25990630240173</v>
      </c>
      <c r="W72" s="68">
        <f t="shared" ref="W72" si="132">U72-V72</f>
        <v>141.49009369759827</v>
      </c>
      <c r="X72" s="68">
        <f t="shared" ref="X72" si="133">U72+V72</f>
        <v>356.00990630240176</v>
      </c>
      <c r="Y72" s="69">
        <f>AVERAGE(O72:Q72)</f>
        <v>198.33333333333334</v>
      </c>
      <c r="Z72" s="69">
        <f>MEDIAN(O72:Q72)</f>
        <v>150</v>
      </c>
      <c r="AA72" s="70">
        <f>_xlfn.STDEV.P(O72:Q72)</f>
        <v>71.918163367971388</v>
      </c>
      <c r="AB72" s="71">
        <f t="shared" ref="AB72" si="134">AA72/Y72</f>
        <v>0.36261258840993976</v>
      </c>
      <c r="AC72" s="70" t="str">
        <f t="shared" ref="AC72" si="135">IF(AB72&lt;25%,"Média",IF(AB72&gt;=25%,"Mediana"))</f>
        <v>Mediana</v>
      </c>
      <c r="AD72" s="44">
        <f>Z72</f>
        <v>150</v>
      </c>
    </row>
    <row r="73" spans="2:30" ht="31.5" x14ac:dyDescent="0.25">
      <c r="B73" s="8" t="s">
        <v>146</v>
      </c>
      <c r="C73" s="8" t="s">
        <v>147</v>
      </c>
      <c r="D73" s="8" t="s">
        <v>70</v>
      </c>
      <c r="E73" s="36">
        <v>160</v>
      </c>
      <c r="F73" s="36">
        <v>400</v>
      </c>
      <c r="G73" s="36">
        <v>16000</v>
      </c>
      <c r="H73" s="36">
        <v>400</v>
      </c>
      <c r="I73" s="18"/>
      <c r="J73" s="18"/>
      <c r="K73" s="18"/>
      <c r="L73" s="18"/>
      <c r="M73" s="18"/>
      <c r="N73" s="19">
        <v>10</v>
      </c>
      <c r="O73" s="18"/>
      <c r="P73" s="18"/>
      <c r="Q73" s="18"/>
      <c r="R73" s="18"/>
      <c r="S73" s="18"/>
      <c r="T73" s="18"/>
      <c r="U73" s="128" t="s">
        <v>814</v>
      </c>
      <c r="V73" s="129"/>
      <c r="W73" s="129"/>
      <c r="X73" s="129"/>
      <c r="Y73" s="129"/>
      <c r="Z73" s="129"/>
      <c r="AA73" s="129"/>
      <c r="AB73" s="129"/>
      <c r="AC73" s="130"/>
      <c r="AD73" s="44">
        <f>N73</f>
        <v>10</v>
      </c>
    </row>
    <row r="74" spans="2:30" ht="220.5" x14ac:dyDescent="0.25">
      <c r="B74" s="8" t="s">
        <v>149</v>
      </c>
      <c r="C74" s="8" t="s">
        <v>150</v>
      </c>
      <c r="D74" s="8" t="s">
        <v>70</v>
      </c>
      <c r="E74" s="36">
        <v>70</v>
      </c>
      <c r="F74" s="36">
        <v>165</v>
      </c>
      <c r="G74" s="36">
        <v>300</v>
      </c>
      <c r="H74" s="36">
        <v>150</v>
      </c>
      <c r="I74" s="36">
        <v>266</v>
      </c>
      <c r="J74" s="18"/>
      <c r="K74" s="18"/>
      <c r="L74" s="20">
        <v>5</v>
      </c>
      <c r="M74" s="18"/>
      <c r="N74" s="18"/>
      <c r="O74" s="72">
        <v>20</v>
      </c>
      <c r="P74" s="19">
        <v>5</v>
      </c>
      <c r="Q74" s="19">
        <v>15</v>
      </c>
      <c r="R74" s="18"/>
      <c r="S74" s="18"/>
      <c r="T74" s="18"/>
      <c r="U74" s="67">
        <f>AVERAGE(L74,O74:Q74)</f>
        <v>11.25</v>
      </c>
      <c r="V74" s="67">
        <f>_xlfn.STDEV.P(L74,O74:Q74)</f>
        <v>6.49519052838329</v>
      </c>
      <c r="W74" s="68">
        <f t="shared" ref="W74" si="136">U74-V74</f>
        <v>4.75480947161671</v>
      </c>
      <c r="X74" s="68">
        <f t="shared" ref="X74" si="137">U74+V74</f>
        <v>17.74519052838329</v>
      </c>
      <c r="Y74" s="69">
        <f>AVERAGE(L74,P74:Q74)</f>
        <v>8.3333333333333339</v>
      </c>
      <c r="Z74" s="69">
        <f>MEDIAN(L74,P74:Q74)</f>
        <v>5</v>
      </c>
      <c r="AA74" s="70">
        <f>_xlfn.STDEV.P(L74,P74:Q74)</f>
        <v>4.714045207910317</v>
      </c>
      <c r="AB74" s="71">
        <f t="shared" ref="AB74" si="138">AA74/Y74</f>
        <v>0.56568542494923801</v>
      </c>
      <c r="AC74" s="70" t="str">
        <f t="shared" ref="AC74" si="139">IF(AB74&lt;25%,"Média",IF(AB74&gt;=25%,"Mediana"))</f>
        <v>Mediana</v>
      </c>
      <c r="AD74" s="44">
        <f>Z74</f>
        <v>5</v>
      </c>
    </row>
    <row r="75" spans="2:30" ht="204.75" x14ac:dyDescent="0.25">
      <c r="B75" s="8" t="s">
        <v>152</v>
      </c>
      <c r="C75" s="8" t="s">
        <v>153</v>
      </c>
      <c r="D75" s="8" t="s">
        <v>154</v>
      </c>
      <c r="E75" s="18"/>
      <c r="F75" s="18"/>
      <c r="G75" s="36">
        <v>800</v>
      </c>
      <c r="H75" s="36">
        <v>245</v>
      </c>
      <c r="I75" s="18"/>
      <c r="J75" s="18"/>
      <c r="K75" s="18"/>
      <c r="L75" s="18"/>
      <c r="M75" s="20">
        <v>90</v>
      </c>
      <c r="N75" s="18"/>
      <c r="O75" s="18"/>
      <c r="P75" s="18"/>
      <c r="Q75" s="18"/>
      <c r="R75" s="18"/>
      <c r="S75" s="18"/>
      <c r="T75" s="18"/>
      <c r="U75" s="128" t="s">
        <v>815</v>
      </c>
      <c r="V75" s="129"/>
      <c r="W75" s="129"/>
      <c r="X75" s="129"/>
      <c r="Y75" s="129"/>
      <c r="Z75" s="129"/>
      <c r="AA75" s="129"/>
      <c r="AB75" s="129"/>
      <c r="AC75" s="130"/>
      <c r="AD75" s="44">
        <f>M75</f>
        <v>90</v>
      </c>
    </row>
    <row r="76" spans="2:30" ht="189" x14ac:dyDescent="0.25">
      <c r="B76" s="8" t="s">
        <v>156</v>
      </c>
      <c r="C76" s="8" t="s">
        <v>157</v>
      </c>
      <c r="D76" s="8" t="s">
        <v>154</v>
      </c>
      <c r="E76" s="18"/>
      <c r="F76" s="18"/>
      <c r="G76" s="18"/>
      <c r="H76" s="18"/>
      <c r="I76" s="18"/>
      <c r="J76" s="18"/>
      <c r="K76" s="18"/>
      <c r="L76" s="18"/>
      <c r="M76" s="18"/>
      <c r="N76" s="18"/>
      <c r="O76" s="18"/>
      <c r="P76" s="18"/>
      <c r="Q76" s="20">
        <v>97.5</v>
      </c>
      <c r="R76" s="18"/>
      <c r="S76" s="18"/>
      <c r="T76" s="18"/>
      <c r="U76" s="128" t="s">
        <v>795</v>
      </c>
      <c r="V76" s="129"/>
      <c r="W76" s="129"/>
      <c r="X76" s="129"/>
      <c r="Y76" s="129"/>
      <c r="Z76" s="129"/>
      <c r="AA76" s="129"/>
      <c r="AB76" s="129"/>
      <c r="AC76" s="130"/>
      <c r="AD76" s="44">
        <f>Q76</f>
        <v>97.5</v>
      </c>
    </row>
    <row r="77" spans="2:30" ht="283.5" x14ac:dyDescent="0.25">
      <c r="B77" s="8" t="s">
        <v>159</v>
      </c>
      <c r="C77" s="8" t="s">
        <v>160</v>
      </c>
      <c r="D77" s="8" t="s">
        <v>154</v>
      </c>
      <c r="E77" s="18"/>
      <c r="F77" s="18"/>
      <c r="G77" s="18"/>
      <c r="H77" s="18"/>
      <c r="I77" s="18"/>
      <c r="J77" s="18"/>
      <c r="K77" s="18"/>
      <c r="L77" s="18"/>
      <c r="M77" s="20">
        <v>60</v>
      </c>
      <c r="N77" s="18"/>
      <c r="O77" s="18"/>
      <c r="P77" s="18"/>
      <c r="Q77" s="18"/>
      <c r="R77" s="18"/>
      <c r="S77" s="18"/>
      <c r="T77" s="18"/>
      <c r="U77" s="128" t="s">
        <v>795</v>
      </c>
      <c r="V77" s="129"/>
      <c r="W77" s="129"/>
      <c r="X77" s="129"/>
      <c r="Y77" s="129"/>
      <c r="Z77" s="129"/>
      <c r="AA77" s="129"/>
      <c r="AB77" s="129"/>
      <c r="AC77" s="130"/>
      <c r="AD77" s="44">
        <f>M77</f>
        <v>60</v>
      </c>
    </row>
    <row r="78" spans="2:30" ht="252" x14ac:dyDescent="0.25">
      <c r="B78" s="122" t="s">
        <v>162</v>
      </c>
      <c r="C78" s="8" t="s">
        <v>163</v>
      </c>
      <c r="D78" s="122" t="s">
        <v>7</v>
      </c>
      <c r="E78" s="174"/>
      <c r="F78" s="174"/>
      <c r="G78" s="174"/>
      <c r="H78" s="174"/>
      <c r="I78" s="174"/>
      <c r="J78" s="178">
        <v>3000</v>
      </c>
      <c r="K78" s="185"/>
      <c r="L78" s="174"/>
      <c r="M78" s="178">
        <f>200*8</f>
        <v>1600</v>
      </c>
      <c r="N78" s="185"/>
      <c r="O78" s="174"/>
      <c r="P78" s="174"/>
      <c r="Q78" s="174"/>
      <c r="R78" s="174"/>
      <c r="S78" s="174"/>
      <c r="T78" s="175"/>
      <c r="U78" s="152" t="s">
        <v>811</v>
      </c>
      <c r="V78" s="153"/>
      <c r="W78" s="153"/>
      <c r="X78" s="153"/>
      <c r="Y78" s="153"/>
      <c r="Z78" s="153"/>
      <c r="AA78" s="153"/>
      <c r="AB78" s="153"/>
      <c r="AC78" s="154"/>
      <c r="AD78" s="178">
        <f>AVERAGE(J78,M78)</f>
        <v>2300</v>
      </c>
    </row>
    <row r="79" spans="2:30" ht="15.75" x14ac:dyDescent="0.25">
      <c r="B79" s="122"/>
      <c r="C79" s="8" t="s">
        <v>164</v>
      </c>
      <c r="D79" s="122"/>
      <c r="E79" s="174"/>
      <c r="F79" s="174"/>
      <c r="G79" s="174"/>
      <c r="H79" s="174"/>
      <c r="I79" s="174"/>
      <c r="J79" s="178"/>
      <c r="K79" s="185"/>
      <c r="L79" s="174"/>
      <c r="M79" s="178"/>
      <c r="N79" s="185"/>
      <c r="O79" s="174"/>
      <c r="P79" s="174"/>
      <c r="Q79" s="174"/>
      <c r="R79" s="174"/>
      <c r="S79" s="174"/>
      <c r="T79" s="176"/>
      <c r="U79" s="155"/>
      <c r="V79" s="156"/>
      <c r="W79" s="156"/>
      <c r="X79" s="156"/>
      <c r="Y79" s="156"/>
      <c r="Z79" s="156"/>
      <c r="AA79" s="156"/>
      <c r="AB79" s="156"/>
      <c r="AC79" s="157"/>
      <c r="AD79" s="178"/>
    </row>
    <row r="80" spans="2:30" ht="63" x14ac:dyDescent="0.25">
      <c r="B80" s="122"/>
      <c r="C80" s="8" t="s">
        <v>165</v>
      </c>
      <c r="D80" s="122"/>
      <c r="E80" s="174"/>
      <c r="F80" s="174"/>
      <c r="G80" s="174"/>
      <c r="H80" s="174"/>
      <c r="I80" s="174"/>
      <c r="J80" s="178"/>
      <c r="K80" s="185"/>
      <c r="L80" s="174"/>
      <c r="M80" s="178"/>
      <c r="N80" s="185"/>
      <c r="O80" s="174"/>
      <c r="P80" s="174"/>
      <c r="Q80" s="174"/>
      <c r="R80" s="174"/>
      <c r="S80" s="174"/>
      <c r="T80" s="177"/>
      <c r="U80" s="158"/>
      <c r="V80" s="159"/>
      <c r="W80" s="159"/>
      <c r="X80" s="159"/>
      <c r="Y80" s="159"/>
      <c r="Z80" s="159"/>
      <c r="AA80" s="159"/>
      <c r="AB80" s="159"/>
      <c r="AC80" s="160"/>
      <c r="AD80" s="178"/>
    </row>
    <row r="81" spans="2:30" ht="126" x14ac:dyDescent="0.25">
      <c r="B81" s="8" t="s">
        <v>167</v>
      </c>
      <c r="C81" s="8" t="s">
        <v>437</v>
      </c>
      <c r="D81" s="8" t="s">
        <v>7</v>
      </c>
      <c r="E81" s="18"/>
      <c r="F81" s="18"/>
      <c r="G81" s="18"/>
      <c r="H81" s="18"/>
      <c r="I81" s="18"/>
      <c r="J81" s="18"/>
      <c r="K81" s="19">
        <v>40</v>
      </c>
      <c r="L81" s="72">
        <f>40*8</f>
        <v>320</v>
      </c>
      <c r="M81" s="19">
        <f>30*8</f>
        <v>240</v>
      </c>
      <c r="N81" s="19">
        <v>70</v>
      </c>
      <c r="O81" s="18"/>
      <c r="P81" s="18"/>
      <c r="Q81" s="18"/>
      <c r="R81" s="25">
        <v>59.04</v>
      </c>
      <c r="S81" s="18"/>
      <c r="T81" s="18"/>
      <c r="U81" s="67">
        <f>AVERAGE(K81:N81,R81)</f>
        <v>145.80799999999999</v>
      </c>
      <c r="V81" s="67">
        <f>_xlfn.STDEV.P(K81:N81,R81)</f>
        <v>112.85907786261592</v>
      </c>
      <c r="W81" s="68">
        <f t="shared" ref="W81" si="140">U81-V81</f>
        <v>32.948922137384073</v>
      </c>
      <c r="X81" s="68">
        <f t="shared" ref="X81" si="141">U81+V81</f>
        <v>258.66707786261588</v>
      </c>
      <c r="Y81" s="69">
        <f>AVERAGE(K81,M81:N81,R81)</f>
        <v>102.26</v>
      </c>
      <c r="Z81" s="69">
        <f>MEDIAN(K81,M81:N81,R81)</f>
        <v>64.52</v>
      </c>
      <c r="AA81" s="70">
        <f>_xlfn.STDEV.P(K81,M81:N81,R81)</f>
        <v>80.245391144912489</v>
      </c>
      <c r="AB81" s="71">
        <f t="shared" ref="AB81" si="142">AA81/Y81</f>
        <v>0.78471925625770078</v>
      </c>
      <c r="AC81" s="70" t="str">
        <f t="shared" ref="AC81" si="143">IF(AB81&lt;25%,"Média",IF(AB81&gt;=25%,"Mediana"))</f>
        <v>Mediana</v>
      </c>
      <c r="AD81" s="44">
        <f>Z81</f>
        <v>64.52</v>
      </c>
    </row>
    <row r="82" spans="2:30" ht="36" customHeight="1" x14ac:dyDescent="0.25">
      <c r="B82" s="8" t="s">
        <v>170</v>
      </c>
      <c r="C82" s="8" t="s">
        <v>438</v>
      </c>
      <c r="D82" s="8" t="s">
        <v>12</v>
      </c>
      <c r="E82" s="18"/>
      <c r="F82" s="18"/>
      <c r="G82" s="18"/>
      <c r="H82" s="18"/>
      <c r="I82" s="18"/>
      <c r="J82" s="18"/>
      <c r="K82" s="18"/>
      <c r="L82" s="19">
        <v>2</v>
      </c>
      <c r="M82" s="18"/>
      <c r="N82" s="19">
        <v>10</v>
      </c>
      <c r="O82" s="18"/>
      <c r="P82" s="18"/>
      <c r="Q82" s="18"/>
      <c r="R82" s="18"/>
      <c r="S82" s="72">
        <f>(50.5*1/100)+(50.5)</f>
        <v>51.005000000000003</v>
      </c>
      <c r="T82" s="18"/>
      <c r="U82" s="67">
        <f>AVERAGE(L82,N82,S82)</f>
        <v>21.001666666666669</v>
      </c>
      <c r="V82" s="67">
        <f>_xlfn.STDEV.P(L82,N82,S82)</f>
        <v>21.465476286871024</v>
      </c>
      <c r="W82" s="68">
        <f t="shared" ref="W82" si="144">U82-V82</f>
        <v>-0.4638096202043549</v>
      </c>
      <c r="X82" s="68">
        <f t="shared" ref="X82" si="145">U82+V82</f>
        <v>42.467142953537689</v>
      </c>
      <c r="Y82" s="69">
        <f>AVERAGE(L82,N82)</f>
        <v>6</v>
      </c>
      <c r="Z82" s="69">
        <f>MEDIAN(L82,N82)</f>
        <v>6</v>
      </c>
      <c r="AA82" s="70">
        <f>_xlfn.STDEV.P(L82,N82)</f>
        <v>4</v>
      </c>
      <c r="AB82" s="71">
        <f t="shared" ref="AB82" si="146">AA82/Y82</f>
        <v>0.66666666666666663</v>
      </c>
      <c r="AC82" s="70" t="str">
        <f t="shared" ref="AC82" si="147">IF(AB82&lt;25%,"Média",IF(AB82&gt;=25%,"Mediana"))</f>
        <v>Mediana</v>
      </c>
      <c r="AD82" s="44">
        <f>Z82</f>
        <v>6</v>
      </c>
    </row>
    <row r="83" spans="2:30" ht="15.75" x14ac:dyDescent="0.25">
      <c r="B83" s="8" t="s">
        <v>711</v>
      </c>
      <c r="C83" s="8" t="s">
        <v>711</v>
      </c>
      <c r="D83" s="8" t="s">
        <v>12</v>
      </c>
      <c r="E83" s="18"/>
      <c r="F83" s="18"/>
      <c r="G83" s="19">
        <v>740</v>
      </c>
      <c r="H83" s="18"/>
      <c r="I83" s="18"/>
      <c r="J83" s="18"/>
      <c r="K83" s="18"/>
      <c r="L83" s="18"/>
      <c r="M83" s="18"/>
      <c r="N83" s="18"/>
      <c r="O83" s="18"/>
      <c r="P83" s="18"/>
      <c r="Q83" s="18"/>
      <c r="R83" s="18"/>
      <c r="S83" s="18"/>
      <c r="T83" s="18"/>
      <c r="U83" s="128" t="s">
        <v>796</v>
      </c>
      <c r="V83" s="129"/>
      <c r="W83" s="129"/>
      <c r="X83" s="129"/>
      <c r="Y83" s="129"/>
      <c r="Z83" s="129"/>
      <c r="AA83" s="129"/>
      <c r="AB83" s="129"/>
      <c r="AC83" s="130"/>
      <c r="AD83" s="19">
        <f>G83</f>
        <v>740</v>
      </c>
    </row>
    <row r="84" spans="2:30" ht="31.5" x14ac:dyDescent="0.25">
      <c r="B84" s="8" t="s">
        <v>173</v>
      </c>
      <c r="C84" s="8" t="s">
        <v>439</v>
      </c>
      <c r="D84" s="8" t="s">
        <v>12</v>
      </c>
      <c r="E84" s="36">
        <v>400</v>
      </c>
      <c r="F84" s="20">
        <v>38.5</v>
      </c>
      <c r="G84" s="36">
        <v>980</v>
      </c>
      <c r="H84" s="20">
        <v>35</v>
      </c>
      <c r="I84" s="36">
        <v>640</v>
      </c>
      <c r="J84" s="18"/>
      <c r="K84" s="18"/>
      <c r="L84" s="72">
        <v>2</v>
      </c>
      <c r="M84" s="18"/>
      <c r="N84" s="19">
        <v>10</v>
      </c>
      <c r="O84" s="18"/>
      <c r="P84" s="18"/>
      <c r="Q84" s="18"/>
      <c r="R84" s="18"/>
      <c r="S84" s="72">
        <f>(50.5*1/100)+(50.5)</f>
        <v>51.005000000000003</v>
      </c>
      <c r="T84" s="18"/>
      <c r="U84" s="67">
        <f>AVERAGE(F84,H84,L84,N84,S84)</f>
        <v>27.300999999999998</v>
      </c>
      <c r="V84" s="67">
        <f>_xlfn.STDEV.P(F84,H84,L84,N84,S84)</f>
        <v>18.363207889690731</v>
      </c>
      <c r="W84" s="68">
        <f t="shared" ref="W84" si="148">U84-V84</f>
        <v>8.9377921103092675</v>
      </c>
      <c r="X84" s="68">
        <f t="shared" ref="X84" si="149">U84+V84</f>
        <v>45.664207889690729</v>
      </c>
      <c r="Y84" s="69">
        <f>AVERAGE(F84,H84,N84)</f>
        <v>27.833333333333332</v>
      </c>
      <c r="Z84" s="69">
        <f>MEDIAN(F84,H84,N84)</f>
        <v>35</v>
      </c>
      <c r="AA84" s="70">
        <f>_xlfn.STDEV.P(F84,H84,N84)</f>
        <v>12.690766547200983</v>
      </c>
      <c r="AB84" s="71">
        <f t="shared" ref="AB84" si="150">AA84/Y84</f>
        <v>0.45595568433057426</v>
      </c>
      <c r="AC84" s="70" t="str">
        <f t="shared" ref="AC84" si="151">IF(AB84&lt;25%,"Média",IF(AB84&gt;=25%,"Mediana"))</f>
        <v>Mediana</v>
      </c>
      <c r="AD84" s="19">
        <f>Z84</f>
        <v>35</v>
      </c>
    </row>
    <row r="85" spans="2:30" ht="31.5" x14ac:dyDescent="0.25">
      <c r="B85" s="8" t="s">
        <v>176</v>
      </c>
      <c r="C85" s="8" t="s">
        <v>440</v>
      </c>
      <c r="D85" s="8" t="s">
        <v>12</v>
      </c>
      <c r="E85" s="36">
        <v>500</v>
      </c>
      <c r="F85" s="19">
        <v>55</v>
      </c>
      <c r="G85" s="36">
        <v>720</v>
      </c>
      <c r="H85" s="20">
        <v>50</v>
      </c>
      <c r="I85" s="22"/>
      <c r="J85" s="18"/>
      <c r="K85" s="18"/>
      <c r="L85" s="18"/>
      <c r="M85" s="18"/>
      <c r="N85" s="18"/>
      <c r="O85" s="18"/>
      <c r="P85" s="18"/>
      <c r="Q85" s="18"/>
      <c r="R85" s="18"/>
      <c r="S85" s="18"/>
      <c r="T85" s="18"/>
      <c r="U85" s="149" t="s">
        <v>816</v>
      </c>
      <c r="V85" s="150"/>
      <c r="W85" s="150"/>
      <c r="X85" s="150"/>
      <c r="Y85" s="150"/>
      <c r="Z85" s="150"/>
      <c r="AA85" s="150"/>
      <c r="AB85" s="150"/>
      <c r="AC85" s="151"/>
      <c r="AD85" s="44">
        <f>AVERAGE(F85,H85)</f>
        <v>52.5</v>
      </c>
    </row>
    <row r="86" spans="2:30" ht="63" x14ac:dyDescent="0.25">
      <c r="B86" s="8" t="s">
        <v>712</v>
      </c>
      <c r="C86" s="8" t="s">
        <v>713</v>
      </c>
      <c r="D86" s="8" t="s">
        <v>12</v>
      </c>
      <c r="E86" s="18"/>
      <c r="F86" s="18"/>
      <c r="G86" s="20">
        <v>3</v>
      </c>
      <c r="H86" s="22"/>
      <c r="I86" s="36">
        <v>550</v>
      </c>
      <c r="J86" s="22"/>
      <c r="K86" s="22"/>
      <c r="L86" s="22"/>
      <c r="M86" s="22"/>
      <c r="N86" s="22"/>
      <c r="O86" s="22"/>
      <c r="P86" s="22"/>
      <c r="Q86" s="22"/>
      <c r="R86" s="22"/>
      <c r="S86" s="22"/>
      <c r="T86" s="22"/>
      <c r="U86" s="128" t="s">
        <v>792</v>
      </c>
      <c r="V86" s="129"/>
      <c r="W86" s="129"/>
      <c r="X86" s="129"/>
      <c r="Y86" s="129"/>
      <c r="Z86" s="129"/>
      <c r="AA86" s="129"/>
      <c r="AB86" s="129"/>
      <c r="AC86" s="130"/>
      <c r="AD86" s="44">
        <f>G86</f>
        <v>3</v>
      </c>
    </row>
    <row r="87" spans="2:30" ht="283.5" x14ac:dyDescent="0.25">
      <c r="B87" s="8" t="s">
        <v>179</v>
      </c>
      <c r="C87" s="35" t="s">
        <v>180</v>
      </c>
      <c r="D87" s="8" t="s">
        <v>7</v>
      </c>
      <c r="E87" s="18"/>
      <c r="F87" s="18"/>
      <c r="G87" s="18"/>
      <c r="H87" s="22"/>
      <c r="I87" s="18"/>
      <c r="J87" s="73">
        <v>190</v>
      </c>
      <c r="K87" s="18"/>
      <c r="L87" s="59">
        <v>100</v>
      </c>
      <c r="M87" s="18"/>
      <c r="N87" s="18"/>
      <c r="O87" s="18"/>
      <c r="P87" s="18"/>
      <c r="Q87" s="59">
        <v>120</v>
      </c>
      <c r="R87" s="59">
        <v>100</v>
      </c>
      <c r="S87" s="73">
        <f>(60*1/100)+(60)</f>
        <v>60.6</v>
      </c>
      <c r="T87" s="18"/>
      <c r="U87" s="67">
        <f>AVERAGE(J87,L87,Q87:S87)</f>
        <v>114.12</v>
      </c>
      <c r="V87" s="67">
        <f>_xlfn.STDEV.P(J87,L87,Q87:S87)</f>
        <v>42.556992374931731</v>
      </c>
      <c r="W87" s="68">
        <f t="shared" ref="W87" si="152">U87-V87</f>
        <v>71.563007625068281</v>
      </c>
      <c r="X87" s="68">
        <f t="shared" ref="X87" si="153">U87+V87</f>
        <v>156.67699237493173</v>
      </c>
      <c r="Y87" s="69">
        <f>AVERAGE(L87,Q87:R87)</f>
        <v>106.66666666666667</v>
      </c>
      <c r="Z87" s="69">
        <f>MEDIAN(L87,Q87:R87)</f>
        <v>100</v>
      </c>
      <c r="AA87" s="70">
        <f>_xlfn.STDEV.P(L87,Q87:R87)</f>
        <v>9.428090415820634</v>
      </c>
      <c r="AB87" s="71">
        <f t="shared" ref="AB87" si="154">AA87/Y87</f>
        <v>8.8388347648318447E-2</v>
      </c>
      <c r="AC87" s="70" t="str">
        <f t="shared" ref="AC87" si="155">IF(AB87&lt;25%,"Média",IF(AB87&gt;=25%,"Mediana"))</f>
        <v>Média</v>
      </c>
      <c r="AD87" s="44">
        <f>Y87</f>
        <v>106.66666666666667</v>
      </c>
    </row>
    <row r="88" spans="2:30" ht="267.75" x14ac:dyDescent="0.25">
      <c r="B88" s="8" t="s">
        <v>441</v>
      </c>
      <c r="C88" s="35" t="s">
        <v>442</v>
      </c>
      <c r="D88" s="57" t="s">
        <v>7</v>
      </c>
      <c r="E88" s="18"/>
      <c r="F88" s="18"/>
      <c r="G88" s="18"/>
      <c r="H88" s="18"/>
      <c r="I88" s="18"/>
      <c r="J88" s="77">
        <v>190</v>
      </c>
      <c r="K88" s="18"/>
      <c r="L88" s="59">
        <v>100</v>
      </c>
      <c r="M88" s="18"/>
      <c r="N88" s="18"/>
      <c r="O88" s="18"/>
      <c r="P88" s="18"/>
      <c r="Q88" s="59">
        <v>120</v>
      </c>
      <c r="R88" s="59">
        <v>100</v>
      </c>
      <c r="S88" s="77">
        <f>(60*1/100)+(60)</f>
        <v>60.6</v>
      </c>
      <c r="T88" s="18"/>
      <c r="U88" s="67">
        <f>AVERAGE(J88,L88,Q88:S88)</f>
        <v>114.12</v>
      </c>
      <c r="V88" s="67">
        <f>_xlfn.STDEV.P(J88,L88,Q88:S88)</f>
        <v>42.556992374931731</v>
      </c>
      <c r="W88" s="68">
        <f t="shared" ref="W88" si="156">U88-V88</f>
        <v>71.563007625068281</v>
      </c>
      <c r="X88" s="68">
        <f t="shared" ref="X88" si="157">U88+V88</f>
        <v>156.67699237493173</v>
      </c>
      <c r="Y88" s="69">
        <f>AVERAGE(L88,Q88:R88)</f>
        <v>106.66666666666667</v>
      </c>
      <c r="Z88" s="69">
        <f>MEDIAN(L88,Q88:R88)</f>
        <v>100</v>
      </c>
      <c r="AA88" s="70">
        <f>_xlfn.STDEV.P(L88,Q88:R88)</f>
        <v>9.428090415820634</v>
      </c>
      <c r="AB88" s="71">
        <f t="shared" ref="AB88" si="158">AA88/Y88</f>
        <v>8.8388347648318447E-2</v>
      </c>
      <c r="AC88" s="70" t="str">
        <f t="shared" ref="AC88" si="159">IF(AB88&lt;25%,"Média",IF(AB88&gt;=25%,"Mediana"))</f>
        <v>Média</v>
      </c>
      <c r="AD88" s="19">
        <f>Y88</f>
        <v>106.66666666666667</v>
      </c>
    </row>
    <row r="89" spans="2:30" ht="63" x14ac:dyDescent="0.25">
      <c r="B89" s="8" t="s">
        <v>183</v>
      </c>
      <c r="C89" s="8" t="s">
        <v>184</v>
      </c>
      <c r="D89" s="8" t="s">
        <v>185</v>
      </c>
      <c r="E89" s="18"/>
      <c r="F89" s="18"/>
      <c r="G89" s="19">
        <v>650</v>
      </c>
      <c r="H89" s="18"/>
      <c r="I89" s="18"/>
      <c r="J89" s="18"/>
      <c r="K89" s="18"/>
      <c r="L89" s="18"/>
      <c r="M89" s="18"/>
      <c r="N89" s="18"/>
      <c r="O89" s="18"/>
      <c r="P89" s="18"/>
      <c r="Q89" s="18"/>
      <c r="R89" s="18"/>
      <c r="S89" s="18"/>
      <c r="T89" s="18"/>
      <c r="U89" s="128" t="s">
        <v>796</v>
      </c>
      <c r="V89" s="129"/>
      <c r="W89" s="129"/>
      <c r="X89" s="129"/>
      <c r="Y89" s="129"/>
      <c r="Z89" s="129"/>
      <c r="AA89" s="129"/>
      <c r="AB89" s="129"/>
      <c r="AC89" s="130"/>
      <c r="AD89" s="44">
        <f>G89</f>
        <v>650</v>
      </c>
    </row>
    <row r="90" spans="2:30" ht="204.75" x14ac:dyDescent="0.25">
      <c r="B90" s="8" t="s">
        <v>443</v>
      </c>
      <c r="C90" s="8" t="s">
        <v>188</v>
      </c>
      <c r="D90" s="8" t="s">
        <v>7</v>
      </c>
      <c r="E90" s="18"/>
      <c r="F90" s="18"/>
      <c r="G90" s="18"/>
      <c r="H90" s="18"/>
      <c r="I90" s="18"/>
      <c r="J90" s="18"/>
      <c r="K90" s="19">
        <v>500</v>
      </c>
      <c r="L90" s="18"/>
      <c r="M90" s="19">
        <v>500</v>
      </c>
      <c r="N90" s="72">
        <v>100</v>
      </c>
      <c r="O90" s="18"/>
      <c r="P90" s="18"/>
      <c r="Q90" s="19">
        <v>400</v>
      </c>
      <c r="R90" s="25">
        <v>393.95</v>
      </c>
      <c r="S90" s="18"/>
      <c r="T90" s="18"/>
      <c r="U90" s="67">
        <f>AVERAGE(K90,M90:N90,Q90:R90)</f>
        <v>378.79</v>
      </c>
      <c r="V90" s="67">
        <f>_xlfn.STDEV.P(K90,M90:N90,Q90:R90)</f>
        <v>146.82457696176076</v>
      </c>
      <c r="W90" s="68">
        <f t="shared" ref="W90" si="160">U90-V90</f>
        <v>231.96542303823927</v>
      </c>
      <c r="X90" s="68">
        <f t="shared" ref="X90" si="161">U90+V90</f>
        <v>525.6145769617608</v>
      </c>
      <c r="Y90" s="69">
        <f>AVERAGE(K90,M90,Q90:R90)</f>
        <v>448.48750000000001</v>
      </c>
      <c r="Z90" s="69">
        <f>MEDIAN(K90,M90,Q90:R90)</f>
        <v>450</v>
      </c>
      <c r="AA90" s="70">
        <f>_xlfn.STDEV.P(K90,M90,Q90:R90)</f>
        <v>51.556890603972683</v>
      </c>
      <c r="AB90" s="71">
        <f t="shared" ref="AB90" si="162">AA90/Y90</f>
        <v>0.11495725210618508</v>
      </c>
      <c r="AC90" s="70" t="str">
        <f t="shared" ref="AC90" si="163">IF(AB90&lt;25%,"Média",IF(AB90&gt;=25%,"Mediana"))</f>
        <v>Média</v>
      </c>
      <c r="AD90" s="44">
        <f>Y90</f>
        <v>448.48750000000001</v>
      </c>
    </row>
    <row r="91" spans="2:30" ht="204.75" x14ac:dyDescent="0.25">
      <c r="B91" s="8" t="s">
        <v>190</v>
      </c>
      <c r="C91" s="8" t="s">
        <v>191</v>
      </c>
      <c r="D91" s="8" t="s">
        <v>7</v>
      </c>
      <c r="E91" s="18"/>
      <c r="F91" s="18"/>
      <c r="G91" s="18"/>
      <c r="H91" s="18"/>
      <c r="I91" s="18"/>
      <c r="J91" s="18"/>
      <c r="K91" s="18"/>
      <c r="L91" s="19">
        <v>200</v>
      </c>
      <c r="M91" s="18"/>
      <c r="N91" s="18"/>
      <c r="O91" s="18"/>
      <c r="P91" s="18"/>
      <c r="Q91" s="18"/>
      <c r="R91" s="18"/>
      <c r="S91" s="18"/>
      <c r="T91" s="18"/>
      <c r="U91" s="128" t="s">
        <v>796</v>
      </c>
      <c r="V91" s="129"/>
      <c r="W91" s="129"/>
      <c r="X91" s="129"/>
      <c r="Y91" s="129"/>
      <c r="Z91" s="129"/>
      <c r="AA91" s="129"/>
      <c r="AB91" s="129"/>
      <c r="AC91" s="130"/>
      <c r="AD91" s="44">
        <f>L91</f>
        <v>200</v>
      </c>
    </row>
    <row r="92" spans="2:30" ht="204.75" x14ac:dyDescent="0.25">
      <c r="B92" s="8" t="s">
        <v>193</v>
      </c>
      <c r="C92" s="8" t="s">
        <v>194</v>
      </c>
      <c r="D92" s="8" t="s">
        <v>7</v>
      </c>
      <c r="E92" s="18"/>
      <c r="F92" s="18"/>
      <c r="G92" s="18"/>
      <c r="H92" s="18"/>
      <c r="I92" s="18"/>
      <c r="J92" s="18"/>
      <c r="K92" s="18"/>
      <c r="L92" s="18"/>
      <c r="M92" s="74">
        <v>1800</v>
      </c>
      <c r="N92" s="22"/>
      <c r="O92" s="18"/>
      <c r="P92" s="25">
        <v>1300</v>
      </c>
      <c r="Q92" s="18"/>
      <c r="R92" s="25">
        <v>1210</v>
      </c>
      <c r="S92" s="18"/>
      <c r="T92" s="18"/>
      <c r="U92" s="67">
        <f>AVERAGE(M92,P92,R92)</f>
        <v>1436.6666666666667</v>
      </c>
      <c r="V92" s="67">
        <f>_xlfn.STDEV.P(M92,P92,R92)</f>
        <v>259.52948879762306</v>
      </c>
      <c r="W92" s="68">
        <f t="shared" ref="W92" si="164">U92-V92</f>
        <v>1177.1371778690436</v>
      </c>
      <c r="X92" s="68">
        <f t="shared" ref="X92" si="165">U92+V92</f>
        <v>1696.1961554642899</v>
      </c>
      <c r="Y92" s="69">
        <f>AVERAGE(P92,R92)</f>
        <v>1255</v>
      </c>
      <c r="Z92" s="69">
        <f>MEDIAN(P92,R92)</f>
        <v>1255</v>
      </c>
      <c r="AA92" s="70">
        <f>_xlfn.STDEV.P(P92,R92)</f>
        <v>45</v>
      </c>
      <c r="AB92" s="71">
        <f t="shared" ref="AB92" si="166">AA92/Y92</f>
        <v>3.5856573705179286E-2</v>
      </c>
      <c r="AC92" s="70" t="str">
        <f t="shared" ref="AC92" si="167">IF(AB92&lt;25%,"Média",IF(AB92&gt;=25%,"Mediana"))</f>
        <v>Média</v>
      </c>
      <c r="AD92" s="44">
        <f>Y92</f>
        <v>1255</v>
      </c>
    </row>
    <row r="93" spans="2:30" ht="346.5" x14ac:dyDescent="0.25">
      <c r="B93" s="8" t="s">
        <v>734</v>
      </c>
      <c r="C93" s="8" t="s">
        <v>196</v>
      </c>
      <c r="D93" s="8" t="s">
        <v>7</v>
      </c>
      <c r="E93" s="18"/>
      <c r="F93" s="18"/>
      <c r="G93" s="18"/>
      <c r="H93" s="18"/>
      <c r="I93" s="18"/>
      <c r="J93" s="18"/>
      <c r="K93" s="18"/>
      <c r="L93" s="18"/>
      <c r="M93" s="18"/>
      <c r="N93" s="18"/>
      <c r="O93" s="18"/>
      <c r="P93" s="18"/>
      <c r="Q93" s="19">
        <v>200</v>
      </c>
      <c r="R93" s="18"/>
      <c r="S93" s="18"/>
      <c r="T93" s="18"/>
      <c r="U93" s="128" t="s">
        <v>796</v>
      </c>
      <c r="V93" s="129"/>
      <c r="W93" s="129"/>
      <c r="X93" s="129"/>
      <c r="Y93" s="129"/>
      <c r="Z93" s="129"/>
      <c r="AA93" s="129"/>
      <c r="AB93" s="129"/>
      <c r="AC93" s="130"/>
      <c r="AD93" s="44">
        <f>Q93</f>
        <v>200</v>
      </c>
    </row>
    <row r="94" spans="2:30" ht="15.75" x14ac:dyDescent="0.25">
      <c r="B94" s="8" t="s">
        <v>198</v>
      </c>
      <c r="C94" s="8" t="s">
        <v>199</v>
      </c>
      <c r="D94" s="8" t="s">
        <v>70</v>
      </c>
      <c r="E94" s="18"/>
      <c r="F94" s="18"/>
      <c r="G94" s="18"/>
      <c r="H94" s="18"/>
      <c r="I94" s="18"/>
      <c r="J94" s="18"/>
      <c r="K94" s="18"/>
      <c r="L94" s="18"/>
      <c r="M94" s="18"/>
      <c r="N94" s="19">
        <v>8</v>
      </c>
      <c r="O94" s="18"/>
      <c r="P94" s="18"/>
      <c r="Q94" s="18"/>
      <c r="R94" s="18"/>
      <c r="S94" s="18"/>
      <c r="T94" s="18"/>
      <c r="U94" s="128" t="s">
        <v>796</v>
      </c>
      <c r="V94" s="129"/>
      <c r="W94" s="129"/>
      <c r="X94" s="129"/>
      <c r="Y94" s="129"/>
      <c r="Z94" s="129"/>
      <c r="AA94" s="129"/>
      <c r="AB94" s="129"/>
      <c r="AC94" s="130"/>
      <c r="AD94" s="43">
        <f>N94</f>
        <v>8</v>
      </c>
    </row>
    <row r="95" spans="2:30" ht="15.75" x14ac:dyDescent="0.25">
      <c r="B95" s="8" t="s">
        <v>198</v>
      </c>
      <c r="C95" s="8" t="s">
        <v>202</v>
      </c>
      <c r="D95" s="8" t="s">
        <v>70</v>
      </c>
      <c r="E95" s="18"/>
      <c r="F95" s="18"/>
      <c r="G95" s="18"/>
      <c r="H95" s="18"/>
      <c r="I95" s="18"/>
      <c r="J95" s="18"/>
      <c r="K95" s="18"/>
      <c r="L95" s="18"/>
      <c r="M95" s="18"/>
      <c r="N95" s="19">
        <v>15</v>
      </c>
      <c r="O95" s="18"/>
      <c r="P95" s="18"/>
      <c r="Q95" s="18"/>
      <c r="R95" s="18"/>
      <c r="S95" s="18"/>
      <c r="T95" s="18"/>
      <c r="U95" s="128" t="s">
        <v>796</v>
      </c>
      <c r="V95" s="129"/>
      <c r="W95" s="129"/>
      <c r="X95" s="129"/>
      <c r="Y95" s="129"/>
      <c r="Z95" s="129"/>
      <c r="AA95" s="129"/>
      <c r="AB95" s="129"/>
      <c r="AC95" s="130"/>
      <c r="AD95" s="43">
        <f>N95</f>
        <v>15</v>
      </c>
    </row>
    <row r="96" spans="2:30" ht="78.75" x14ac:dyDescent="0.25">
      <c r="B96" s="8" t="s">
        <v>644</v>
      </c>
      <c r="C96" s="8" t="s">
        <v>645</v>
      </c>
      <c r="D96" s="8" t="s">
        <v>70</v>
      </c>
      <c r="E96" s="20">
        <v>70</v>
      </c>
      <c r="F96" s="72">
        <v>165</v>
      </c>
      <c r="G96" s="36">
        <v>600</v>
      </c>
      <c r="H96" s="72">
        <v>150</v>
      </c>
      <c r="I96" s="36">
        <v>250</v>
      </c>
      <c r="J96" s="18"/>
      <c r="K96" s="20">
        <v>70</v>
      </c>
      <c r="L96" s="18"/>
      <c r="M96" s="18"/>
      <c r="N96" s="18"/>
      <c r="O96" s="20">
        <v>80</v>
      </c>
      <c r="P96" s="18"/>
      <c r="Q96" s="18"/>
      <c r="R96" s="18"/>
      <c r="S96" s="18"/>
      <c r="T96" s="18"/>
      <c r="U96" s="67">
        <f>AVERAGE(E96:F96,H96,K96,O96)</f>
        <v>107</v>
      </c>
      <c r="V96" s="67">
        <f>_xlfn.STDEV.P(E96:F96,H96,K96,O96)</f>
        <v>41.665333311999319</v>
      </c>
      <c r="W96" s="68">
        <f t="shared" ref="W96" si="168">U96-V96</f>
        <v>65.334666688000681</v>
      </c>
      <c r="X96" s="68">
        <f t="shared" ref="X96" si="169">U96+V96</f>
        <v>148.66533331199932</v>
      </c>
      <c r="Y96" s="69">
        <f>AVERAGE(O96,K96,E96)</f>
        <v>73.333333333333329</v>
      </c>
      <c r="Z96" s="69">
        <f>MEDIAN(O96,K96,E96)</f>
        <v>70</v>
      </c>
      <c r="AA96" s="70">
        <f>_xlfn.STDEV.P(O96,K96,E96)</f>
        <v>4.7140452079103161</v>
      </c>
      <c r="AB96" s="71">
        <f t="shared" ref="AB96" si="170">AA96/Y96</f>
        <v>6.4282434653322493E-2</v>
      </c>
      <c r="AC96" s="70" t="str">
        <f t="shared" ref="AC96" si="171">IF(AB96&lt;25%,"Média",IF(AB96&gt;=25%,"Mediana"))</f>
        <v>Média</v>
      </c>
      <c r="AD96" s="44">
        <f>Y96</f>
        <v>73.333333333333329</v>
      </c>
    </row>
    <row r="97" spans="2:44" ht="63" x14ac:dyDescent="0.25">
      <c r="B97" s="8" t="s">
        <v>204</v>
      </c>
      <c r="C97" s="8" t="s">
        <v>205</v>
      </c>
      <c r="D97" s="8" t="s">
        <v>70</v>
      </c>
      <c r="E97" s="18"/>
      <c r="F97" s="18"/>
      <c r="G97" s="18"/>
      <c r="H97" s="18"/>
      <c r="I97" s="18"/>
      <c r="J97" s="18"/>
      <c r="K97" s="18"/>
      <c r="L97" s="18"/>
      <c r="M97" s="18"/>
      <c r="N97" s="18"/>
      <c r="O97" s="18"/>
      <c r="P97" s="18"/>
      <c r="Q97" s="18"/>
      <c r="R97" s="18"/>
      <c r="S97" s="19">
        <v>80</v>
      </c>
      <c r="T97" s="18"/>
      <c r="U97" s="128" t="s">
        <v>796</v>
      </c>
      <c r="V97" s="129"/>
      <c r="W97" s="129"/>
      <c r="X97" s="129"/>
      <c r="Y97" s="129"/>
      <c r="Z97" s="129"/>
      <c r="AA97" s="129"/>
      <c r="AB97" s="129"/>
      <c r="AC97" s="130"/>
      <c r="AD97" s="44">
        <f>S97</f>
        <v>80</v>
      </c>
    </row>
    <row r="98" spans="2:44" ht="63" x14ac:dyDescent="0.25">
      <c r="B98" s="8" t="s">
        <v>445</v>
      </c>
      <c r="C98" s="8" t="s">
        <v>696</v>
      </c>
      <c r="D98" s="8" t="s">
        <v>70</v>
      </c>
      <c r="E98" s="18"/>
      <c r="F98" s="18"/>
      <c r="G98" s="18"/>
      <c r="H98" s="18"/>
      <c r="I98" s="18"/>
      <c r="J98" s="18"/>
      <c r="K98" s="18"/>
      <c r="L98" s="18"/>
      <c r="M98" s="20">
        <v>60</v>
      </c>
      <c r="N98" s="18"/>
      <c r="O98" s="18"/>
      <c r="P98" s="20">
        <v>51</v>
      </c>
      <c r="Q98" s="18"/>
      <c r="R98" s="18"/>
      <c r="S98" s="18"/>
      <c r="T98" s="18"/>
      <c r="U98" s="128" t="s">
        <v>811</v>
      </c>
      <c r="V98" s="129"/>
      <c r="W98" s="129"/>
      <c r="X98" s="129"/>
      <c r="Y98" s="129"/>
      <c r="Z98" s="129"/>
      <c r="AA98" s="129"/>
      <c r="AB98" s="129"/>
      <c r="AC98" s="130"/>
      <c r="AD98" s="44">
        <f>AVERAGE(M98:P98)</f>
        <v>55.5</v>
      </c>
    </row>
    <row r="99" spans="2:44" ht="63" x14ac:dyDescent="0.25">
      <c r="B99" s="8" t="s">
        <v>204</v>
      </c>
      <c r="C99" s="8" t="s">
        <v>444</v>
      </c>
      <c r="D99" s="8" t="s">
        <v>70</v>
      </c>
      <c r="E99" s="36">
        <v>150</v>
      </c>
      <c r="F99" s="36">
        <v>330</v>
      </c>
      <c r="G99" s="36">
        <v>550</v>
      </c>
      <c r="H99" s="36">
        <v>300</v>
      </c>
      <c r="I99" s="22"/>
      <c r="J99" s="18"/>
      <c r="K99" s="18"/>
      <c r="L99" s="18"/>
      <c r="M99" s="18"/>
      <c r="N99" s="18"/>
      <c r="O99" s="20">
        <v>80</v>
      </c>
      <c r="P99" s="18"/>
      <c r="Q99" s="18"/>
      <c r="R99" s="18"/>
      <c r="S99" s="18"/>
      <c r="T99" s="18"/>
      <c r="U99" s="128" t="s">
        <v>814</v>
      </c>
      <c r="V99" s="129"/>
      <c r="W99" s="129"/>
      <c r="X99" s="129"/>
      <c r="Y99" s="129"/>
      <c r="Z99" s="129"/>
      <c r="AA99" s="129"/>
      <c r="AB99" s="129"/>
      <c r="AC99" s="130"/>
      <c r="AD99" s="44">
        <f>O99</f>
        <v>80</v>
      </c>
    </row>
    <row r="100" spans="2:44" ht="63" x14ac:dyDescent="0.25">
      <c r="B100" s="8" t="s">
        <v>204</v>
      </c>
      <c r="C100" s="8" t="s">
        <v>207</v>
      </c>
      <c r="D100" s="8" t="s">
        <v>70</v>
      </c>
      <c r="E100" s="18"/>
      <c r="F100" s="18"/>
      <c r="G100" s="18"/>
      <c r="H100" s="18"/>
      <c r="I100" s="18"/>
      <c r="J100" s="18"/>
      <c r="K100" s="18"/>
      <c r="L100" s="18"/>
      <c r="M100" s="20">
        <v>50</v>
      </c>
      <c r="N100" s="18"/>
      <c r="O100" s="18"/>
      <c r="P100" s="18"/>
      <c r="Q100" s="18"/>
      <c r="R100" s="18"/>
      <c r="S100" s="19">
        <v>50</v>
      </c>
      <c r="T100" s="18"/>
      <c r="U100" s="128" t="s">
        <v>811</v>
      </c>
      <c r="V100" s="129"/>
      <c r="W100" s="129"/>
      <c r="X100" s="129"/>
      <c r="Y100" s="129"/>
      <c r="Z100" s="129"/>
      <c r="AA100" s="129"/>
      <c r="AB100" s="129"/>
      <c r="AC100" s="130"/>
      <c r="AD100" s="44">
        <f>S100</f>
        <v>50</v>
      </c>
    </row>
    <row r="101" spans="2:44" ht="63" x14ac:dyDescent="0.25">
      <c r="B101" s="8" t="s">
        <v>445</v>
      </c>
      <c r="C101" s="8" t="s">
        <v>446</v>
      </c>
      <c r="D101" s="8" t="s">
        <v>70</v>
      </c>
      <c r="E101" s="36">
        <v>600</v>
      </c>
      <c r="F101" s="36">
        <v>2750</v>
      </c>
      <c r="G101" s="18"/>
      <c r="H101" s="36">
        <v>2500</v>
      </c>
      <c r="I101" s="36">
        <v>700</v>
      </c>
      <c r="J101" s="18"/>
      <c r="K101" s="18"/>
      <c r="L101" s="19">
        <v>66</v>
      </c>
      <c r="M101" s="18"/>
      <c r="N101" s="18"/>
      <c r="O101" s="22"/>
      <c r="P101" s="18"/>
      <c r="Q101" s="18"/>
      <c r="R101" s="18"/>
      <c r="S101" s="18"/>
      <c r="T101" s="18"/>
      <c r="U101" s="128" t="s">
        <v>814</v>
      </c>
      <c r="V101" s="129"/>
      <c r="W101" s="129"/>
      <c r="X101" s="129"/>
      <c r="Y101" s="129"/>
      <c r="Z101" s="129"/>
      <c r="AA101" s="129"/>
      <c r="AB101" s="129"/>
      <c r="AC101" s="130"/>
      <c r="AD101" s="44">
        <f>L101</f>
        <v>66</v>
      </c>
    </row>
    <row r="102" spans="2:44" ht="63" x14ac:dyDescent="0.25">
      <c r="B102" s="8" t="s">
        <v>445</v>
      </c>
      <c r="C102" s="8" t="s">
        <v>447</v>
      </c>
      <c r="D102" s="8" t="s">
        <v>70</v>
      </c>
      <c r="E102" s="36">
        <v>700</v>
      </c>
      <c r="F102" s="36">
        <v>3850</v>
      </c>
      <c r="G102" s="36">
        <v>600</v>
      </c>
      <c r="H102" s="36">
        <v>1000</v>
      </c>
      <c r="I102" s="36">
        <v>700</v>
      </c>
      <c r="J102" s="18"/>
      <c r="K102" s="18"/>
      <c r="L102" s="20">
        <v>93</v>
      </c>
      <c r="M102" s="18"/>
      <c r="N102" s="18"/>
      <c r="O102" s="20">
        <v>50</v>
      </c>
      <c r="P102" s="18"/>
      <c r="Q102" s="18"/>
      <c r="R102" s="18"/>
      <c r="S102" s="18"/>
      <c r="T102" s="18"/>
      <c r="U102" s="128" t="s">
        <v>817</v>
      </c>
      <c r="V102" s="129"/>
      <c r="W102" s="129"/>
      <c r="X102" s="129"/>
      <c r="Y102" s="129"/>
      <c r="Z102" s="129"/>
      <c r="AA102" s="129"/>
      <c r="AB102" s="129"/>
      <c r="AC102" s="130"/>
      <c r="AD102" s="44">
        <f>AVERAGE(L102,O102)</f>
        <v>71.5</v>
      </c>
    </row>
    <row r="103" spans="2:44" ht="94.5" x14ac:dyDescent="0.25">
      <c r="B103" s="8" t="s">
        <v>114</v>
      </c>
      <c r="C103" s="8" t="s">
        <v>115</v>
      </c>
      <c r="D103" s="8" t="s">
        <v>116</v>
      </c>
      <c r="E103" s="18"/>
      <c r="F103" s="18"/>
      <c r="G103" s="18"/>
      <c r="H103" s="18"/>
      <c r="I103" s="18"/>
      <c r="J103" s="18"/>
      <c r="K103" s="18"/>
      <c r="L103" s="36">
        <v>3090</v>
      </c>
      <c r="M103" s="18"/>
      <c r="N103" s="19">
        <v>500</v>
      </c>
      <c r="O103" s="22"/>
      <c r="P103" s="18"/>
      <c r="Q103" s="18"/>
      <c r="R103" s="18"/>
      <c r="S103" s="18"/>
      <c r="T103" s="18"/>
      <c r="U103" s="128" t="s">
        <v>818</v>
      </c>
      <c r="V103" s="129"/>
      <c r="W103" s="129"/>
      <c r="X103" s="129"/>
      <c r="Y103" s="129"/>
      <c r="Z103" s="129"/>
      <c r="AA103" s="129"/>
      <c r="AB103" s="129"/>
      <c r="AC103" s="130"/>
      <c r="AD103" s="44">
        <f>N103</f>
        <v>500</v>
      </c>
    </row>
    <row r="104" spans="2:44" ht="63" x14ac:dyDescent="0.25">
      <c r="B104" s="8" t="s">
        <v>216</v>
      </c>
      <c r="C104" s="8" t="s">
        <v>448</v>
      </c>
      <c r="D104" s="8" t="s">
        <v>70</v>
      </c>
      <c r="E104" s="18"/>
      <c r="F104" s="18"/>
      <c r="G104" s="18"/>
      <c r="H104" s="18"/>
      <c r="I104" s="18"/>
      <c r="J104" s="18"/>
      <c r="K104" s="72">
        <v>90</v>
      </c>
      <c r="L104" s="72">
        <v>90</v>
      </c>
      <c r="M104" s="18"/>
      <c r="N104" s="19">
        <v>50</v>
      </c>
      <c r="O104" s="20">
        <v>50</v>
      </c>
      <c r="P104" s="18"/>
      <c r="Q104" s="18"/>
      <c r="R104" s="18"/>
      <c r="S104" s="19">
        <v>50</v>
      </c>
      <c r="T104" s="18"/>
      <c r="U104" s="67">
        <f>AVERAGE(K104:L104,N104:O104,S104)</f>
        <v>66</v>
      </c>
      <c r="V104" s="67">
        <f>_xlfn.STDEV.P(K104:L104,N104:O104,S104)</f>
        <v>19.595917942265423</v>
      </c>
      <c r="W104" s="68">
        <f t="shared" ref="W104" si="172">U104-V104</f>
        <v>46.404082057734577</v>
      </c>
      <c r="X104" s="68">
        <f t="shared" ref="X104" si="173">U104+V104</f>
        <v>85.59591794226543</v>
      </c>
      <c r="Y104" s="69">
        <f>AVERAGE(N104:O104,S104)</f>
        <v>50</v>
      </c>
      <c r="Z104" s="69">
        <f>MEDIAN(N104:O104,S104)</f>
        <v>50</v>
      </c>
      <c r="AA104" s="70">
        <f>_xlfn.STDEV.P(N104:O104,S104)</f>
        <v>0</v>
      </c>
      <c r="AB104" s="71">
        <f t="shared" ref="AB104" si="174">AA104/Y104</f>
        <v>0</v>
      </c>
      <c r="AC104" s="70" t="str">
        <f t="shared" ref="AC104" si="175">IF(AB104&lt;25%,"Média",IF(AB104&gt;=25%,"Mediana"))</f>
        <v>Média</v>
      </c>
      <c r="AD104" s="44">
        <f>Y104</f>
        <v>50</v>
      </c>
    </row>
    <row r="105" spans="2:44" ht="63" x14ac:dyDescent="0.25">
      <c r="B105" s="8" t="s">
        <v>219</v>
      </c>
      <c r="C105" s="8" t="s">
        <v>449</v>
      </c>
      <c r="D105" s="8" t="s">
        <v>70</v>
      </c>
      <c r="E105" s="36">
        <v>250</v>
      </c>
      <c r="F105" s="36">
        <v>330</v>
      </c>
      <c r="G105" s="36">
        <v>450</v>
      </c>
      <c r="H105" s="36">
        <v>300</v>
      </c>
      <c r="I105" s="36">
        <v>250</v>
      </c>
      <c r="J105" s="36">
        <v>225</v>
      </c>
      <c r="K105" s="20">
        <v>100</v>
      </c>
      <c r="L105" s="36">
        <v>200</v>
      </c>
      <c r="M105" s="20">
        <v>100</v>
      </c>
      <c r="N105" s="22"/>
      <c r="O105" s="18"/>
      <c r="P105" s="74">
        <v>80</v>
      </c>
      <c r="Q105" s="18"/>
      <c r="R105" s="18"/>
      <c r="S105" s="18"/>
      <c r="T105" s="18"/>
      <c r="U105" s="67">
        <f>AVERAGE(K105,M105,P105)</f>
        <v>93.333333333333329</v>
      </c>
      <c r="V105" s="67">
        <f>_xlfn.STDEV.P(K105,M105,P105)</f>
        <v>9.428090415820634</v>
      </c>
      <c r="W105" s="68">
        <f t="shared" ref="W105" si="176">U105-V105</f>
        <v>83.905242917512695</v>
      </c>
      <c r="X105" s="68">
        <f t="shared" ref="X105" si="177">U105+V105</f>
        <v>102.76142374915396</v>
      </c>
      <c r="Y105" s="69">
        <f>M105</f>
        <v>100</v>
      </c>
      <c r="Z105" s="69">
        <f>M105</f>
        <v>100</v>
      </c>
      <c r="AA105" s="70">
        <f>_xlfn.STDEV.P(M105)</f>
        <v>0</v>
      </c>
      <c r="AB105" s="71">
        <f t="shared" ref="AB105" si="178">AA105/Y105</f>
        <v>0</v>
      </c>
      <c r="AC105" s="70" t="str">
        <f t="shared" ref="AC105" si="179">IF(AB105&lt;25%,"Média",IF(AB105&gt;=25%,"Mediana"))</f>
        <v>Média</v>
      </c>
      <c r="AD105" s="44">
        <f>Y105</f>
        <v>100</v>
      </c>
    </row>
    <row r="106" spans="2:44" ht="47.25" x14ac:dyDescent="0.25">
      <c r="B106" s="8" t="s">
        <v>222</v>
      </c>
      <c r="C106" s="8" t="s">
        <v>223</v>
      </c>
      <c r="D106" s="8" t="s">
        <v>224</v>
      </c>
      <c r="E106" s="18"/>
      <c r="F106" s="18"/>
      <c r="G106" s="18"/>
      <c r="H106" s="18"/>
      <c r="I106" s="18"/>
      <c r="J106" s="18"/>
      <c r="K106" s="18"/>
      <c r="L106" s="18"/>
      <c r="M106" s="18"/>
      <c r="N106" s="19">
        <v>200</v>
      </c>
      <c r="O106" s="18"/>
      <c r="P106" s="18"/>
      <c r="Q106" s="18"/>
      <c r="R106" s="18"/>
      <c r="S106" s="18"/>
      <c r="T106" s="18"/>
      <c r="U106" s="128" t="s">
        <v>796</v>
      </c>
      <c r="V106" s="129"/>
      <c r="W106" s="129"/>
      <c r="X106" s="129"/>
      <c r="Y106" s="129"/>
      <c r="Z106" s="129"/>
      <c r="AA106" s="129"/>
      <c r="AB106" s="129"/>
      <c r="AC106" s="130"/>
      <c r="AD106" s="44">
        <f>N106</f>
        <v>200</v>
      </c>
    </row>
    <row r="107" spans="2:44" ht="78.75" x14ac:dyDescent="0.25">
      <c r="B107" s="8" t="s">
        <v>226</v>
      </c>
      <c r="C107" s="8" t="s">
        <v>227</v>
      </c>
      <c r="D107" s="8" t="s">
        <v>70</v>
      </c>
      <c r="E107" s="36">
        <v>70</v>
      </c>
      <c r="F107" s="18"/>
      <c r="G107" s="36">
        <v>350</v>
      </c>
      <c r="H107" s="18"/>
      <c r="I107" s="18"/>
      <c r="J107" s="18"/>
      <c r="K107" s="18"/>
      <c r="L107" s="19">
        <v>5</v>
      </c>
      <c r="M107" s="18"/>
      <c r="N107" s="19">
        <v>5</v>
      </c>
      <c r="O107" s="18"/>
      <c r="P107" s="18"/>
      <c r="Q107" s="18"/>
      <c r="R107" s="18"/>
      <c r="S107" s="18"/>
      <c r="T107" s="18"/>
      <c r="U107" s="128" t="s">
        <v>817</v>
      </c>
      <c r="V107" s="129"/>
      <c r="W107" s="129"/>
      <c r="X107" s="129"/>
      <c r="Y107" s="129"/>
      <c r="Z107" s="129"/>
      <c r="AA107" s="129"/>
      <c r="AB107" s="129"/>
      <c r="AC107" s="130"/>
      <c r="AD107" s="44">
        <f>L107</f>
        <v>5</v>
      </c>
    </row>
    <row r="108" spans="2:44" ht="15.75" x14ac:dyDescent="0.25">
      <c r="B108" s="8"/>
      <c r="C108" s="8"/>
      <c r="D108" s="8"/>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row>
    <row r="109" spans="2:44" ht="15.75" x14ac:dyDescent="0.25">
      <c r="B109" s="31"/>
      <c r="C109" s="31"/>
      <c r="D109" s="31"/>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row>
    <row r="110" spans="2:44" ht="126" x14ac:dyDescent="0.25">
      <c r="B110" s="8" t="s">
        <v>450</v>
      </c>
      <c r="C110" s="8" t="s">
        <v>451</v>
      </c>
      <c r="D110" s="8" t="s">
        <v>244</v>
      </c>
      <c r="E110" s="18"/>
      <c r="F110" s="18"/>
      <c r="G110" s="18"/>
      <c r="H110" s="18"/>
      <c r="I110" s="18"/>
      <c r="J110" s="72">
        <v>150</v>
      </c>
      <c r="K110" s="18"/>
      <c r="L110" s="19">
        <v>100</v>
      </c>
      <c r="M110" s="72">
        <v>140</v>
      </c>
      <c r="N110" s="19">
        <v>75</v>
      </c>
      <c r="O110" s="18"/>
      <c r="P110" s="19">
        <v>80</v>
      </c>
      <c r="Q110" s="72">
        <v>70</v>
      </c>
      <c r="R110" s="18"/>
      <c r="S110" s="18"/>
      <c r="T110" s="18"/>
      <c r="U110" s="67">
        <f>AVERAGE(J110,L110:N110,P110:Q110)</f>
        <v>102.5</v>
      </c>
      <c r="V110" s="67">
        <f>_xlfn.STDEV.P(J110,L110:N110,P110:Q110)</f>
        <v>31.589819035041444</v>
      </c>
      <c r="W110" s="68">
        <f t="shared" ref="W110" si="180">U110-V110</f>
        <v>70.910180964958556</v>
      </c>
      <c r="X110" s="68">
        <f t="shared" ref="X110" si="181">U110+V110</f>
        <v>134.08981903504144</v>
      </c>
      <c r="Y110" s="69">
        <f>AVERAGE(L110,N110,P110)</f>
        <v>85</v>
      </c>
      <c r="Z110" s="69">
        <f>MEDIAN(L110,N110,P110)</f>
        <v>80</v>
      </c>
      <c r="AA110" s="70">
        <f>_xlfn.STDEV.P(L110,N110,P110)</f>
        <v>10.801234497346433</v>
      </c>
      <c r="AB110" s="71">
        <f t="shared" ref="AB110" si="182">AA110/Y110</f>
        <v>0.12707334702760509</v>
      </c>
      <c r="AC110" s="70" t="str">
        <f t="shared" ref="AC110" si="183">IF(AB110&lt;25%,"Média",IF(AB110&gt;=25%,"Mediana"))</f>
        <v>Média</v>
      </c>
      <c r="AD110" s="44">
        <f>Y110</f>
        <v>85</v>
      </c>
    </row>
    <row r="111" spans="2:44" ht="157.5" x14ac:dyDescent="0.25">
      <c r="B111" s="8" t="s">
        <v>230</v>
      </c>
      <c r="C111" s="8" t="s">
        <v>231</v>
      </c>
      <c r="D111" s="8" t="s">
        <v>232</v>
      </c>
      <c r="E111" s="18"/>
      <c r="F111" s="18"/>
      <c r="G111" s="18"/>
      <c r="H111" s="18"/>
      <c r="I111" s="18"/>
      <c r="J111" s="18"/>
      <c r="K111" s="18"/>
      <c r="L111" s="72">
        <f>140/8*12</f>
        <v>210</v>
      </c>
      <c r="M111" s="19">
        <v>170</v>
      </c>
      <c r="N111" s="72">
        <v>95</v>
      </c>
      <c r="O111" s="18"/>
      <c r="P111" s="19">
        <v>140</v>
      </c>
      <c r="Q111" s="19">
        <f>135/8*12</f>
        <v>202.5</v>
      </c>
      <c r="R111" s="18"/>
      <c r="S111" s="18"/>
      <c r="T111" s="18"/>
      <c r="U111" s="67">
        <f>AVERAGE(L111:N111,P111:Q111)</f>
        <v>163.5</v>
      </c>
      <c r="V111" s="67">
        <f>_xlfn.STDEV.P(L111:N111,P111:Q111)</f>
        <v>42.355637169094742</v>
      </c>
      <c r="W111" s="68">
        <f t="shared" ref="W111" si="184">U111-V111</f>
        <v>121.14436283090527</v>
      </c>
      <c r="X111" s="68">
        <f t="shared" ref="X111" si="185">U111+V111</f>
        <v>205.85563716909473</v>
      </c>
      <c r="Y111" s="69">
        <f>AVERAGE(M111,P111:Q111)</f>
        <v>170.83333333333334</v>
      </c>
      <c r="Z111" s="69">
        <f>MEDIAN(M111,P111:Q111)</f>
        <v>170</v>
      </c>
      <c r="AA111" s="70">
        <f>_xlfn.STDEV.P(M111,P111:Q111)</f>
        <v>25.522321385189258</v>
      </c>
      <c r="AB111" s="71">
        <f t="shared" ref="AB111" si="186">AA111/Y111</f>
        <v>0.14939895444988832</v>
      </c>
      <c r="AC111" s="70" t="str">
        <f t="shared" ref="AC111" si="187">IF(AB111&lt;25%,"Média",IF(AB111&gt;=25%,"Mediana"))</f>
        <v>Média</v>
      </c>
      <c r="AD111" s="44">
        <f>Y111</f>
        <v>170.83333333333334</v>
      </c>
    </row>
    <row r="112" spans="2:44" ht="157.5" x14ac:dyDescent="0.25">
      <c r="B112" s="122" t="s">
        <v>234</v>
      </c>
      <c r="C112" s="8" t="s">
        <v>235</v>
      </c>
      <c r="D112" s="122" t="s">
        <v>244</v>
      </c>
      <c r="E112" s="174"/>
      <c r="F112" s="174"/>
      <c r="G112" s="174"/>
      <c r="H112" s="174"/>
      <c r="I112" s="174"/>
      <c r="J112" s="180">
        <v>200</v>
      </c>
      <c r="K112" s="174"/>
      <c r="L112" s="180">
        <v>200</v>
      </c>
      <c r="M112" s="178">
        <v>150</v>
      </c>
      <c r="N112" s="180">
        <v>70</v>
      </c>
      <c r="O112" s="174"/>
      <c r="P112" s="178">
        <v>100</v>
      </c>
      <c r="Q112" s="178">
        <v>150</v>
      </c>
      <c r="R112" s="174"/>
      <c r="S112" s="174"/>
      <c r="T112" s="175"/>
      <c r="U112" s="134">
        <f>AVERAGE(J112,L112:N120,P112:Q120)</f>
        <v>145</v>
      </c>
      <c r="V112" s="134">
        <f>_xlfn.STDEV.P(J112,L112:N120,P112:Q120)</f>
        <v>47.871355387816905</v>
      </c>
      <c r="W112" s="137">
        <f t="shared" ref="W112" si="188">U112-V112</f>
        <v>97.128644612183095</v>
      </c>
      <c r="X112" s="137">
        <f t="shared" ref="X112" si="189">U112+V112</f>
        <v>192.87135538781689</v>
      </c>
      <c r="Y112" s="140">
        <f>AVERAGE(M112,P112:Q120)</f>
        <v>133.33333333333334</v>
      </c>
      <c r="Z112" s="140">
        <f>MEDIAN(M112,P112:Q120)</f>
        <v>150</v>
      </c>
      <c r="AA112" s="143">
        <f>_xlfn.STDEV.P(M112,P112:Q120)</f>
        <v>23.570226039551585</v>
      </c>
      <c r="AB112" s="146">
        <f t="shared" ref="AB112" si="190">AA112/Y112</f>
        <v>0.17677669529663687</v>
      </c>
      <c r="AC112" s="143" t="str">
        <f t="shared" ref="AC112" si="191">IF(AB112&lt;25%,"Média",IF(AB112&gt;=25%,"Mediana"))</f>
        <v>Média</v>
      </c>
      <c r="AD112" s="90">
        <f>Y112</f>
        <v>133.33333333333334</v>
      </c>
      <c r="AE112" s="171"/>
      <c r="AF112" s="123"/>
      <c r="AG112" s="123"/>
      <c r="AH112" s="123"/>
      <c r="AI112" s="123"/>
      <c r="AJ112" s="123"/>
      <c r="AK112" s="123"/>
      <c r="AL112" s="123"/>
      <c r="AM112" s="123"/>
      <c r="AN112" s="123"/>
      <c r="AO112" s="123"/>
      <c r="AP112" s="123"/>
      <c r="AQ112" s="123"/>
      <c r="AR112" s="123"/>
    </row>
    <row r="113" spans="2:44" ht="63" x14ac:dyDescent="0.25">
      <c r="B113" s="122"/>
      <c r="C113" s="8" t="s">
        <v>236</v>
      </c>
      <c r="D113" s="122"/>
      <c r="E113" s="174"/>
      <c r="F113" s="174"/>
      <c r="G113" s="174"/>
      <c r="H113" s="174"/>
      <c r="I113" s="174"/>
      <c r="J113" s="180"/>
      <c r="K113" s="174"/>
      <c r="L113" s="180"/>
      <c r="M113" s="178"/>
      <c r="N113" s="180"/>
      <c r="O113" s="174"/>
      <c r="P113" s="178"/>
      <c r="Q113" s="178"/>
      <c r="R113" s="174"/>
      <c r="S113" s="174"/>
      <c r="T113" s="176"/>
      <c r="U113" s="135"/>
      <c r="V113" s="135"/>
      <c r="W113" s="138"/>
      <c r="X113" s="138"/>
      <c r="Y113" s="141"/>
      <c r="Z113" s="141"/>
      <c r="AA113" s="144"/>
      <c r="AB113" s="147"/>
      <c r="AC113" s="144"/>
      <c r="AD113" s="91"/>
      <c r="AE113" s="171"/>
      <c r="AF113" s="123"/>
      <c r="AG113" s="123"/>
      <c r="AH113" s="123"/>
      <c r="AI113" s="123"/>
      <c r="AJ113" s="123"/>
      <c r="AK113" s="123"/>
      <c r="AL113" s="123"/>
      <c r="AM113" s="123"/>
      <c r="AN113" s="123"/>
      <c r="AO113" s="123"/>
      <c r="AP113" s="123"/>
      <c r="AQ113" s="123"/>
      <c r="AR113" s="123"/>
    </row>
    <row r="114" spans="2:44" ht="78.75" x14ac:dyDescent="0.25">
      <c r="B114" s="122"/>
      <c r="C114" s="8" t="s">
        <v>237</v>
      </c>
      <c r="D114" s="122"/>
      <c r="E114" s="174"/>
      <c r="F114" s="174"/>
      <c r="G114" s="174"/>
      <c r="H114" s="174"/>
      <c r="I114" s="174"/>
      <c r="J114" s="180"/>
      <c r="K114" s="174"/>
      <c r="L114" s="180"/>
      <c r="M114" s="178"/>
      <c r="N114" s="180"/>
      <c r="O114" s="174"/>
      <c r="P114" s="178"/>
      <c r="Q114" s="178"/>
      <c r="R114" s="174"/>
      <c r="S114" s="174"/>
      <c r="T114" s="176"/>
      <c r="U114" s="135"/>
      <c r="V114" s="135"/>
      <c r="W114" s="138"/>
      <c r="X114" s="138"/>
      <c r="Y114" s="141"/>
      <c r="Z114" s="141"/>
      <c r="AA114" s="144"/>
      <c r="AB114" s="147"/>
      <c r="AC114" s="144"/>
      <c r="AD114" s="91"/>
      <c r="AE114" s="171"/>
      <c r="AF114" s="123"/>
      <c r="AG114" s="123"/>
      <c r="AH114" s="123"/>
      <c r="AI114" s="123"/>
      <c r="AJ114" s="123"/>
      <c r="AK114" s="123"/>
      <c r="AL114" s="123"/>
      <c r="AM114" s="123"/>
      <c r="AN114" s="123"/>
      <c r="AO114" s="123"/>
      <c r="AP114" s="123"/>
      <c r="AQ114" s="123"/>
      <c r="AR114" s="123"/>
    </row>
    <row r="115" spans="2:44" ht="78.75" x14ac:dyDescent="0.25">
      <c r="B115" s="122"/>
      <c r="C115" s="8" t="s">
        <v>238</v>
      </c>
      <c r="D115" s="122"/>
      <c r="E115" s="174"/>
      <c r="F115" s="174"/>
      <c r="G115" s="174"/>
      <c r="H115" s="174"/>
      <c r="I115" s="174"/>
      <c r="J115" s="180"/>
      <c r="K115" s="174"/>
      <c r="L115" s="180"/>
      <c r="M115" s="178"/>
      <c r="N115" s="180"/>
      <c r="O115" s="174"/>
      <c r="P115" s="178"/>
      <c r="Q115" s="178"/>
      <c r="R115" s="174"/>
      <c r="S115" s="174"/>
      <c r="T115" s="176"/>
      <c r="U115" s="135"/>
      <c r="V115" s="135"/>
      <c r="W115" s="138"/>
      <c r="X115" s="138"/>
      <c r="Y115" s="141"/>
      <c r="Z115" s="141"/>
      <c r="AA115" s="144"/>
      <c r="AB115" s="147"/>
      <c r="AC115" s="144"/>
      <c r="AD115" s="91"/>
      <c r="AE115" s="171"/>
      <c r="AF115" s="123"/>
      <c r="AG115" s="123"/>
      <c r="AH115" s="123"/>
      <c r="AI115" s="123"/>
      <c r="AJ115" s="123"/>
      <c r="AK115" s="123"/>
      <c r="AL115" s="123"/>
      <c r="AM115" s="123"/>
      <c r="AN115" s="123"/>
      <c r="AO115" s="123"/>
      <c r="AP115" s="123"/>
      <c r="AQ115" s="123"/>
      <c r="AR115" s="123"/>
    </row>
    <row r="116" spans="2:44" ht="63" x14ac:dyDescent="0.25">
      <c r="B116" s="122"/>
      <c r="C116" s="8" t="s">
        <v>239</v>
      </c>
      <c r="D116" s="122"/>
      <c r="E116" s="174"/>
      <c r="F116" s="174"/>
      <c r="G116" s="174"/>
      <c r="H116" s="174"/>
      <c r="I116" s="174"/>
      <c r="J116" s="180"/>
      <c r="K116" s="174"/>
      <c r="L116" s="180"/>
      <c r="M116" s="178"/>
      <c r="N116" s="180"/>
      <c r="O116" s="174"/>
      <c r="P116" s="178"/>
      <c r="Q116" s="178"/>
      <c r="R116" s="174"/>
      <c r="S116" s="174"/>
      <c r="T116" s="176"/>
      <c r="U116" s="135"/>
      <c r="V116" s="135"/>
      <c r="W116" s="138"/>
      <c r="X116" s="138"/>
      <c r="Y116" s="141"/>
      <c r="Z116" s="141"/>
      <c r="AA116" s="144"/>
      <c r="AB116" s="147"/>
      <c r="AC116" s="144"/>
      <c r="AD116" s="91"/>
      <c r="AE116" s="171"/>
      <c r="AF116" s="123"/>
      <c r="AG116" s="123"/>
      <c r="AH116" s="123"/>
      <c r="AI116" s="123"/>
      <c r="AJ116" s="123"/>
      <c r="AK116" s="123"/>
      <c r="AL116" s="123"/>
      <c r="AM116" s="123"/>
      <c r="AN116" s="123"/>
      <c r="AO116" s="123"/>
      <c r="AP116" s="123"/>
      <c r="AQ116" s="123"/>
      <c r="AR116" s="123"/>
    </row>
    <row r="117" spans="2:44" ht="126" x14ac:dyDescent="0.25">
      <c r="B117" s="122"/>
      <c r="C117" s="8" t="s">
        <v>240</v>
      </c>
      <c r="D117" s="122"/>
      <c r="E117" s="174"/>
      <c r="F117" s="174"/>
      <c r="G117" s="174"/>
      <c r="H117" s="174"/>
      <c r="I117" s="174"/>
      <c r="J117" s="180"/>
      <c r="K117" s="174"/>
      <c r="L117" s="180"/>
      <c r="M117" s="178"/>
      <c r="N117" s="180"/>
      <c r="O117" s="174"/>
      <c r="P117" s="178"/>
      <c r="Q117" s="178"/>
      <c r="R117" s="174"/>
      <c r="S117" s="174"/>
      <c r="T117" s="176"/>
      <c r="U117" s="135"/>
      <c r="V117" s="135"/>
      <c r="W117" s="138"/>
      <c r="X117" s="138"/>
      <c r="Y117" s="141"/>
      <c r="Z117" s="141"/>
      <c r="AA117" s="144"/>
      <c r="AB117" s="147"/>
      <c r="AC117" s="144"/>
      <c r="AD117" s="91"/>
      <c r="AE117" s="171"/>
      <c r="AF117" s="123"/>
      <c r="AG117" s="123"/>
      <c r="AH117" s="123"/>
      <c r="AI117" s="123"/>
      <c r="AJ117" s="123"/>
      <c r="AK117" s="123"/>
      <c r="AL117" s="123"/>
      <c r="AM117" s="123"/>
      <c r="AN117" s="123"/>
      <c r="AO117" s="123"/>
      <c r="AP117" s="123"/>
      <c r="AQ117" s="123"/>
      <c r="AR117" s="123"/>
    </row>
    <row r="118" spans="2:44" ht="31.5" x14ac:dyDescent="0.25">
      <c r="B118" s="122"/>
      <c r="C118" s="8" t="s">
        <v>241</v>
      </c>
      <c r="D118" s="122"/>
      <c r="E118" s="174"/>
      <c r="F118" s="174"/>
      <c r="G118" s="174"/>
      <c r="H118" s="174"/>
      <c r="I118" s="174"/>
      <c r="J118" s="180"/>
      <c r="K118" s="174"/>
      <c r="L118" s="180"/>
      <c r="M118" s="178"/>
      <c r="N118" s="180"/>
      <c r="O118" s="174"/>
      <c r="P118" s="178"/>
      <c r="Q118" s="178"/>
      <c r="R118" s="174"/>
      <c r="S118" s="174"/>
      <c r="T118" s="176"/>
      <c r="U118" s="135"/>
      <c r="V118" s="135"/>
      <c r="W118" s="138"/>
      <c r="X118" s="138"/>
      <c r="Y118" s="141"/>
      <c r="Z118" s="141"/>
      <c r="AA118" s="144"/>
      <c r="AB118" s="147"/>
      <c r="AC118" s="144"/>
      <c r="AD118" s="91"/>
      <c r="AE118" s="171"/>
      <c r="AF118" s="123"/>
      <c r="AG118" s="123"/>
      <c r="AH118" s="123"/>
      <c r="AI118" s="123"/>
      <c r="AJ118" s="123"/>
      <c r="AK118" s="123"/>
      <c r="AL118" s="123"/>
      <c r="AM118" s="123"/>
      <c r="AN118" s="123"/>
      <c r="AO118" s="123"/>
      <c r="AP118" s="123"/>
      <c r="AQ118" s="123"/>
      <c r="AR118" s="123"/>
    </row>
    <row r="119" spans="2:44" ht="110.25" x14ac:dyDescent="0.25">
      <c r="B119" s="122"/>
      <c r="C119" s="8" t="s">
        <v>242</v>
      </c>
      <c r="D119" s="122"/>
      <c r="E119" s="174"/>
      <c r="F119" s="174"/>
      <c r="G119" s="174"/>
      <c r="H119" s="174"/>
      <c r="I119" s="174"/>
      <c r="J119" s="180"/>
      <c r="K119" s="174"/>
      <c r="L119" s="180"/>
      <c r="M119" s="178"/>
      <c r="N119" s="180"/>
      <c r="O119" s="174"/>
      <c r="P119" s="178"/>
      <c r="Q119" s="178"/>
      <c r="R119" s="174"/>
      <c r="S119" s="174"/>
      <c r="T119" s="176"/>
      <c r="U119" s="135"/>
      <c r="V119" s="135"/>
      <c r="W119" s="138"/>
      <c r="X119" s="138"/>
      <c r="Y119" s="141"/>
      <c r="Z119" s="141"/>
      <c r="AA119" s="144"/>
      <c r="AB119" s="147"/>
      <c r="AC119" s="144"/>
      <c r="AD119" s="91"/>
      <c r="AE119" s="171"/>
      <c r="AF119" s="123"/>
      <c r="AG119" s="123"/>
      <c r="AH119" s="123"/>
      <c r="AI119" s="123"/>
      <c r="AJ119" s="123"/>
      <c r="AK119" s="123"/>
      <c r="AL119" s="123"/>
      <c r="AM119" s="123"/>
      <c r="AN119" s="123"/>
      <c r="AO119" s="123"/>
      <c r="AP119" s="123"/>
      <c r="AQ119" s="123"/>
      <c r="AR119" s="123"/>
    </row>
    <row r="120" spans="2:44" ht="47.25" x14ac:dyDescent="0.25">
      <c r="B120" s="122"/>
      <c r="C120" s="8" t="s">
        <v>243</v>
      </c>
      <c r="D120" s="122"/>
      <c r="E120" s="174"/>
      <c r="F120" s="174"/>
      <c r="G120" s="174"/>
      <c r="H120" s="174"/>
      <c r="I120" s="174"/>
      <c r="J120" s="180"/>
      <c r="K120" s="174"/>
      <c r="L120" s="180"/>
      <c r="M120" s="178"/>
      <c r="N120" s="180"/>
      <c r="O120" s="174"/>
      <c r="P120" s="178"/>
      <c r="Q120" s="178"/>
      <c r="R120" s="174"/>
      <c r="S120" s="174"/>
      <c r="T120" s="177"/>
      <c r="U120" s="136"/>
      <c r="V120" s="136"/>
      <c r="W120" s="139"/>
      <c r="X120" s="139"/>
      <c r="Y120" s="142"/>
      <c r="Z120" s="142"/>
      <c r="AA120" s="145"/>
      <c r="AB120" s="148"/>
      <c r="AC120" s="145"/>
      <c r="AD120" s="91"/>
      <c r="AE120" s="171"/>
      <c r="AF120" s="123"/>
      <c r="AG120" s="123"/>
      <c r="AH120" s="123"/>
      <c r="AI120" s="123"/>
      <c r="AJ120" s="123"/>
      <c r="AK120" s="123"/>
      <c r="AL120" s="123"/>
      <c r="AM120" s="123"/>
      <c r="AN120" s="123"/>
      <c r="AO120" s="123"/>
      <c r="AP120" s="123"/>
      <c r="AQ120" s="123"/>
      <c r="AR120" s="123"/>
    </row>
    <row r="121" spans="2:44" ht="63" x14ac:dyDescent="0.25">
      <c r="B121" s="8" t="s">
        <v>647</v>
      </c>
      <c r="C121" s="8" t="s">
        <v>648</v>
      </c>
      <c r="D121" s="8" t="s">
        <v>244</v>
      </c>
      <c r="E121" s="18"/>
      <c r="F121" s="18"/>
      <c r="G121" s="18"/>
      <c r="H121" s="18"/>
      <c r="I121" s="18"/>
      <c r="J121" s="76">
        <v>200</v>
      </c>
      <c r="K121" s="41"/>
      <c r="L121" s="76">
        <v>200</v>
      </c>
      <c r="M121" s="42">
        <v>150</v>
      </c>
      <c r="N121" s="76">
        <v>70</v>
      </c>
      <c r="O121" s="41"/>
      <c r="P121" s="42">
        <v>100</v>
      </c>
      <c r="Q121" s="42">
        <v>150</v>
      </c>
      <c r="R121" s="41"/>
      <c r="S121" s="41"/>
      <c r="T121" s="45"/>
      <c r="U121" s="67">
        <f>AVERAGE(J121,L121:Q121)</f>
        <v>145</v>
      </c>
      <c r="V121" s="67">
        <f>_xlfn.STDEV.P(J121,L121:Q121)</f>
        <v>47.871355387816905</v>
      </c>
      <c r="W121" s="68">
        <f t="shared" ref="W121" si="192">U121-V121</f>
        <v>97.128644612183095</v>
      </c>
      <c r="X121" s="68">
        <f t="shared" ref="X121" si="193">U121+V121</f>
        <v>192.87135538781689</v>
      </c>
      <c r="Y121" s="69">
        <f>AVERAGE(M121,P121:Q121)</f>
        <v>133.33333333333334</v>
      </c>
      <c r="Z121" s="69">
        <f>MEDIAN(M121,P121:Q121)</f>
        <v>150</v>
      </c>
      <c r="AA121" s="70">
        <f>_xlfn.STDEV.P(M121,P121:Q121)</f>
        <v>23.570226039551585</v>
      </c>
      <c r="AB121" s="71">
        <f t="shared" ref="AB121" si="194">AA121/Y121</f>
        <v>0.17677669529663687</v>
      </c>
      <c r="AC121" s="70" t="str">
        <f t="shared" ref="AC121" si="195">IF(AB121&lt;25%,"Média",IF(AB121&gt;=25%,"Mediana"))</f>
        <v>Média</v>
      </c>
      <c r="AD121" s="44">
        <f>Y121</f>
        <v>133.33333333333334</v>
      </c>
    </row>
    <row r="122" spans="2:44" ht="189" x14ac:dyDescent="0.25">
      <c r="B122" s="8" t="s">
        <v>246</v>
      </c>
      <c r="C122" s="8" t="s">
        <v>247</v>
      </c>
      <c r="D122" s="8" t="s">
        <v>244</v>
      </c>
      <c r="E122" s="18"/>
      <c r="F122" s="18"/>
      <c r="G122" s="18"/>
      <c r="H122" s="18"/>
      <c r="I122" s="18"/>
      <c r="J122" s="18"/>
      <c r="K122" s="18"/>
      <c r="L122" s="18"/>
      <c r="M122" s="72">
        <v>180</v>
      </c>
      <c r="N122" s="19">
        <v>80</v>
      </c>
      <c r="O122" s="18"/>
      <c r="P122" s="25">
        <v>80</v>
      </c>
      <c r="Q122" s="22"/>
      <c r="R122" s="18"/>
      <c r="S122" s="18"/>
      <c r="T122" s="18"/>
      <c r="U122" s="67">
        <f>AVERAGE(M122:N122,P122)</f>
        <v>113.33333333333333</v>
      </c>
      <c r="V122" s="67">
        <f>_xlfn.STDEV.P(M122:N122,P122)</f>
        <v>47.14045207910317</v>
      </c>
      <c r="W122" s="68">
        <f t="shared" ref="W122" si="196">U122-V122</f>
        <v>66.192881254230159</v>
      </c>
      <c r="X122" s="68">
        <f t="shared" ref="X122" si="197">U122+V122</f>
        <v>160.47378541243648</v>
      </c>
      <c r="Y122" s="69">
        <f>AVERAGE(N122,P122)</f>
        <v>80</v>
      </c>
      <c r="Z122" s="69">
        <f>MEDIAN(N122,P122)</f>
        <v>80</v>
      </c>
      <c r="AA122" s="70">
        <f>_xlfn.STDEV.P(N122,P122)</f>
        <v>0</v>
      </c>
      <c r="AB122" s="71">
        <f t="shared" ref="AB122" si="198">AA122/Y122</f>
        <v>0</v>
      </c>
      <c r="AC122" s="70" t="str">
        <f t="shared" ref="AC122" si="199">IF(AB122&lt;25%,"Média",IF(AB122&gt;=25%,"Mediana"))</f>
        <v>Média</v>
      </c>
      <c r="AD122" s="44">
        <f>Y122</f>
        <v>80</v>
      </c>
    </row>
    <row r="123" spans="2:44" ht="31.5" x14ac:dyDescent="0.25">
      <c r="B123" s="8" t="s">
        <v>452</v>
      </c>
      <c r="C123" s="8" t="s">
        <v>453</v>
      </c>
      <c r="D123" s="8" t="s">
        <v>244</v>
      </c>
      <c r="E123" s="18"/>
      <c r="F123" s="18"/>
      <c r="G123" s="18"/>
      <c r="H123" s="18"/>
      <c r="I123" s="18"/>
      <c r="J123" s="72">
        <v>200</v>
      </c>
      <c r="K123" s="18"/>
      <c r="L123" s="19">
        <v>90</v>
      </c>
      <c r="M123" s="18"/>
      <c r="N123" s="20">
        <v>100</v>
      </c>
      <c r="O123" s="18"/>
      <c r="P123" s="18"/>
      <c r="Q123" s="22"/>
      <c r="R123" s="18"/>
      <c r="S123" s="18"/>
      <c r="T123" s="18"/>
      <c r="U123" s="67">
        <f>AVERAGE(J123,L123,N123)</f>
        <v>130</v>
      </c>
      <c r="V123" s="67">
        <f>_xlfn.STDEV.P(J123,L123,N123)</f>
        <v>49.665548085837798</v>
      </c>
      <c r="W123" s="68">
        <f t="shared" ref="W123" si="200">U123-V123</f>
        <v>80.334451914162202</v>
      </c>
      <c r="X123" s="68">
        <f t="shared" ref="X123" si="201">U123+V123</f>
        <v>179.6655480858378</v>
      </c>
      <c r="Y123" s="69">
        <f>AVERAGE(L123,N123)</f>
        <v>95</v>
      </c>
      <c r="Z123" s="69">
        <f>MEDIAN(L123,N123)</f>
        <v>95</v>
      </c>
      <c r="AA123" s="70">
        <f>_xlfn.STDEV.P(L123,N123)</f>
        <v>5</v>
      </c>
      <c r="AB123" s="71">
        <f t="shared" ref="AB123" si="202">AA123/Y123</f>
        <v>5.2631578947368418E-2</v>
      </c>
      <c r="AC123" s="70" t="str">
        <f t="shared" ref="AC123" si="203">IF(AB123&lt;25%,"Média",IF(AB123&gt;=25%,"Mediana"))</f>
        <v>Média</v>
      </c>
      <c r="AD123" s="44">
        <f>Y123</f>
        <v>95</v>
      </c>
    </row>
    <row r="124" spans="2:44" ht="31.5" x14ac:dyDescent="0.25">
      <c r="B124" s="8" t="s">
        <v>249</v>
      </c>
      <c r="C124" s="8" t="s">
        <v>250</v>
      </c>
      <c r="D124" s="8" t="s">
        <v>244</v>
      </c>
      <c r="E124" s="18"/>
      <c r="F124" s="18"/>
      <c r="G124" s="18"/>
      <c r="H124" s="18"/>
      <c r="I124" s="18"/>
      <c r="J124" s="18"/>
      <c r="K124" s="18"/>
      <c r="L124" s="19">
        <v>150</v>
      </c>
      <c r="M124" s="72">
        <v>170</v>
      </c>
      <c r="N124" s="72">
        <v>80</v>
      </c>
      <c r="O124" s="18"/>
      <c r="P124" s="25">
        <v>120</v>
      </c>
      <c r="Q124" s="18"/>
      <c r="R124" s="18"/>
      <c r="S124" s="18"/>
      <c r="T124" s="18"/>
      <c r="U124" s="67">
        <f>AVERAGE(L124:N124,P124)</f>
        <v>130</v>
      </c>
      <c r="V124" s="67">
        <f>_xlfn.STDEV.P(L124:N124,P124)</f>
        <v>33.911649915626342</v>
      </c>
      <c r="W124" s="68">
        <f t="shared" ref="W124" si="204">U124-V124</f>
        <v>96.088350084373658</v>
      </c>
      <c r="X124" s="68">
        <f t="shared" ref="X124" si="205">U124+V124</f>
        <v>163.91164991562636</v>
      </c>
      <c r="Y124" s="69">
        <f>AVERAGE(L124,N124)</f>
        <v>115</v>
      </c>
      <c r="Z124" s="69">
        <f>MEDIAN(L124,N124)</f>
        <v>115</v>
      </c>
      <c r="AA124" s="70">
        <f>_xlfn.STDEV.P(L124,N124)</f>
        <v>35</v>
      </c>
      <c r="AB124" s="71">
        <f t="shared" ref="AB124" si="206">AA124/Y124</f>
        <v>0.30434782608695654</v>
      </c>
      <c r="AC124" s="70" t="str">
        <f t="shared" ref="AC124" si="207">IF(AB124&lt;25%,"Média",IF(AB124&gt;=25%,"Mediana"))</f>
        <v>Mediana</v>
      </c>
      <c r="AD124" s="44">
        <f>Z124</f>
        <v>115</v>
      </c>
    </row>
    <row r="125" spans="2:44" ht="141.75" x14ac:dyDescent="0.25">
      <c r="B125" s="8" t="s">
        <v>252</v>
      </c>
      <c r="C125" s="8" t="s">
        <v>253</v>
      </c>
      <c r="D125" s="8" t="s">
        <v>154</v>
      </c>
      <c r="E125" s="18"/>
      <c r="F125" s="18"/>
      <c r="G125" s="18"/>
      <c r="H125" s="18"/>
      <c r="I125" s="18"/>
      <c r="J125" s="18"/>
      <c r="K125" s="18"/>
      <c r="L125" s="19">
        <v>250</v>
      </c>
      <c r="M125" s="19">
        <f>275/2</f>
        <v>137.5</v>
      </c>
      <c r="N125" s="22"/>
      <c r="O125" s="18"/>
      <c r="P125" s="72">
        <v>330</v>
      </c>
      <c r="Q125" s="18"/>
      <c r="R125" s="74">
        <f>(401.49/6)*1</f>
        <v>66.915000000000006</v>
      </c>
      <c r="S125" s="18"/>
      <c r="T125" s="18"/>
      <c r="U125" s="67">
        <f>AVERAGE(L125:M125,P125,R125)</f>
        <v>196.10374999999999</v>
      </c>
      <c r="V125" s="67">
        <f>_xlfn.STDEV.P(L125:M125,P125,R125)</f>
        <v>101.1893573563322</v>
      </c>
      <c r="W125" s="68">
        <f t="shared" ref="W125" si="208">U125-V125</f>
        <v>94.914392643667796</v>
      </c>
      <c r="X125" s="68">
        <f t="shared" ref="X125" si="209">U125+V125</f>
        <v>297.2931073563322</v>
      </c>
      <c r="Y125" s="69">
        <f>AVERAGE(L125:M125)</f>
        <v>193.75</v>
      </c>
      <c r="Z125" s="69">
        <f>MEDIAN(L125:M125)</f>
        <v>193.75</v>
      </c>
      <c r="AA125" s="70">
        <f>_xlfn.STDEV.P(L125:M125)</f>
        <v>56.25</v>
      </c>
      <c r="AB125" s="71">
        <f t="shared" ref="AB125" si="210">AA125/Y125</f>
        <v>0.29032258064516131</v>
      </c>
      <c r="AC125" s="70" t="str">
        <f t="shared" ref="AC125" si="211">IF(AB125&lt;25%,"Média",IF(AB125&gt;=25%,"Mediana"))</f>
        <v>Mediana</v>
      </c>
      <c r="AD125" s="44">
        <f>Z125</f>
        <v>193.75</v>
      </c>
    </row>
    <row r="126" spans="2:44" ht="63" x14ac:dyDescent="0.25">
      <c r="B126" s="8" t="s">
        <v>255</v>
      </c>
      <c r="C126" s="8" t="s">
        <v>256</v>
      </c>
      <c r="D126" s="8" t="s">
        <v>244</v>
      </c>
      <c r="E126" s="18"/>
      <c r="F126" s="18"/>
      <c r="G126" s="18"/>
      <c r="H126" s="18"/>
      <c r="I126" s="18"/>
      <c r="J126" s="36">
        <v>800</v>
      </c>
      <c r="K126" s="18"/>
      <c r="L126" s="20">
        <v>500</v>
      </c>
      <c r="M126" s="36">
        <v>800</v>
      </c>
      <c r="N126" s="20">
        <v>321.45</v>
      </c>
      <c r="O126" s="20">
        <v>401</v>
      </c>
      <c r="P126" s="20">
        <v>400</v>
      </c>
      <c r="Q126" s="18"/>
      <c r="R126" s="18"/>
      <c r="S126" s="18"/>
      <c r="T126" s="18"/>
      <c r="U126" s="67">
        <f>AVERAGE(L126:M126,P126,R126)</f>
        <v>566.66666666666663</v>
      </c>
      <c r="V126" s="67">
        <f>_xlfn.STDEV.P(L126:M126,P126,R126)</f>
        <v>169.96731711975949</v>
      </c>
      <c r="W126" s="68">
        <f t="shared" ref="W126" si="212">U126-V126</f>
        <v>396.69934954690711</v>
      </c>
      <c r="X126" s="68">
        <f t="shared" ref="X126" si="213">U126+V126</f>
        <v>736.63398378642614</v>
      </c>
      <c r="Y126" s="69">
        <f>AVERAGE(L126:M126)</f>
        <v>650</v>
      </c>
      <c r="Z126" s="69">
        <f>MEDIAN(L126:M126)</f>
        <v>650</v>
      </c>
      <c r="AA126" s="70">
        <f>_xlfn.STDEV.P(L126:M126)</f>
        <v>150</v>
      </c>
      <c r="AB126" s="71">
        <f t="shared" ref="AB126" si="214">AA126/Y126</f>
        <v>0.23076923076923078</v>
      </c>
      <c r="AC126" s="70" t="str">
        <f t="shared" ref="AC126" si="215">IF(AB126&lt;25%,"Média",IF(AB126&gt;=25%,"Mediana"))</f>
        <v>Média</v>
      </c>
      <c r="AD126" s="44">
        <f t="shared" ref="AD126:AD131" si="216">Y126</f>
        <v>650</v>
      </c>
    </row>
    <row r="127" spans="2:44" ht="78.75" x14ac:dyDescent="0.25">
      <c r="B127" s="8" t="s">
        <v>258</v>
      </c>
      <c r="C127" s="8" t="s">
        <v>259</v>
      </c>
      <c r="D127" s="8" t="s">
        <v>244</v>
      </c>
      <c r="E127" s="18"/>
      <c r="F127" s="18"/>
      <c r="G127" s="18"/>
      <c r="H127" s="18"/>
      <c r="I127" s="18"/>
      <c r="J127" s="19">
        <v>200</v>
      </c>
      <c r="K127" s="18"/>
      <c r="L127" s="72">
        <v>250</v>
      </c>
      <c r="M127" s="19">
        <v>140</v>
      </c>
      <c r="N127" s="72">
        <v>90</v>
      </c>
      <c r="O127" s="20">
        <v>115</v>
      </c>
      <c r="P127" s="20">
        <v>122</v>
      </c>
      <c r="Q127" s="18"/>
      <c r="R127" s="18"/>
      <c r="S127" s="18"/>
      <c r="T127" s="18"/>
      <c r="U127" s="67">
        <f>AVERAGE(J127,L127:P127)</f>
        <v>152.83333333333334</v>
      </c>
      <c r="V127" s="67">
        <f>_xlfn.STDEV.P(J127,L127:P127)</f>
        <v>55.016411692835398</v>
      </c>
      <c r="W127" s="68">
        <f t="shared" ref="W127" si="217">U127-V127</f>
        <v>97.816921640497952</v>
      </c>
      <c r="X127" s="68">
        <f t="shared" ref="X127" si="218">U127+V127</f>
        <v>207.84974502616873</v>
      </c>
      <c r="Y127" s="69">
        <f>AVERAGE(J127,M127,O127:P127)</f>
        <v>144.25</v>
      </c>
      <c r="Z127" s="69">
        <f>MEDIAN(J127,M127,O127:P127)</f>
        <v>131</v>
      </c>
      <c r="AA127" s="70">
        <f>_xlfn.STDEV.P(J127,M127,O127:P127)</f>
        <v>33.454259818444648</v>
      </c>
      <c r="AB127" s="71">
        <f t="shared" ref="AB127" si="219">AA127/Y127</f>
        <v>0.2319186122595816</v>
      </c>
      <c r="AC127" s="70" t="str">
        <f t="shared" ref="AC127" si="220">IF(AB127&lt;25%,"Média",IF(AB127&gt;=25%,"Mediana"))</f>
        <v>Média</v>
      </c>
      <c r="AD127" s="44">
        <f t="shared" si="216"/>
        <v>144.25</v>
      </c>
    </row>
    <row r="128" spans="2:44" ht="31.5" x14ac:dyDescent="0.25">
      <c r="B128" s="8" t="s">
        <v>454</v>
      </c>
      <c r="C128" s="8" t="s">
        <v>455</v>
      </c>
      <c r="D128" s="8" t="s">
        <v>244</v>
      </c>
      <c r="E128" s="18"/>
      <c r="F128" s="18"/>
      <c r="G128" s="18"/>
      <c r="H128" s="18"/>
      <c r="I128" s="18"/>
      <c r="J128" s="72">
        <v>200</v>
      </c>
      <c r="K128" s="18"/>
      <c r="L128" s="19">
        <v>140</v>
      </c>
      <c r="M128" s="18"/>
      <c r="N128" s="72">
        <v>70</v>
      </c>
      <c r="O128" s="22"/>
      <c r="P128" s="18"/>
      <c r="Q128" s="18"/>
      <c r="R128" s="18"/>
      <c r="S128" s="18"/>
      <c r="T128" s="18"/>
      <c r="U128" s="67">
        <f>AVERAGE(J128,L128,N128)</f>
        <v>136.66666666666666</v>
      </c>
      <c r="V128" s="67">
        <f>_xlfn.STDEV.P(J128,L128,N128)</f>
        <v>53.124591501697424</v>
      </c>
      <c r="W128" s="68">
        <f t="shared" ref="W128" si="221">U128-V128</f>
        <v>83.542075164969233</v>
      </c>
      <c r="X128" s="68">
        <f t="shared" ref="X128" si="222">U128+V128</f>
        <v>189.7912581683641</v>
      </c>
      <c r="Y128" s="69">
        <f>AVERAGE(L128)</f>
        <v>140</v>
      </c>
      <c r="Z128" s="69">
        <f>MEDIAN(L128)</f>
        <v>140</v>
      </c>
      <c r="AA128" s="70">
        <f>_xlfn.STDEV.P(L128)</f>
        <v>0</v>
      </c>
      <c r="AB128" s="71">
        <f t="shared" ref="AB128" si="223">AA128/Y128</f>
        <v>0</v>
      </c>
      <c r="AC128" s="70" t="str">
        <f t="shared" ref="AC128" si="224">IF(AB128&lt;25%,"Média",IF(AB128&gt;=25%,"Mediana"))</f>
        <v>Média</v>
      </c>
      <c r="AD128" s="44">
        <f t="shared" si="216"/>
        <v>140</v>
      </c>
    </row>
    <row r="129" spans="2:30" ht="31.5" x14ac:dyDescent="0.25">
      <c r="B129" s="8" t="s">
        <v>261</v>
      </c>
      <c r="C129" s="8" t="s">
        <v>262</v>
      </c>
      <c r="D129" s="8" t="s">
        <v>244</v>
      </c>
      <c r="E129" s="18"/>
      <c r="F129" s="18"/>
      <c r="G129" s="18"/>
      <c r="H129" s="18"/>
      <c r="I129" s="18"/>
      <c r="J129" s="19">
        <v>200</v>
      </c>
      <c r="K129" s="18"/>
      <c r="L129" s="72">
        <v>250</v>
      </c>
      <c r="M129" s="18"/>
      <c r="N129" s="72">
        <v>90</v>
      </c>
      <c r="O129" s="22"/>
      <c r="P129" s="18"/>
      <c r="Q129" s="18"/>
      <c r="R129" s="18"/>
      <c r="S129" s="18"/>
      <c r="T129" s="18"/>
      <c r="U129" s="67">
        <f>AVERAGE(J129,L129,N129)</f>
        <v>180</v>
      </c>
      <c r="V129" s="67">
        <f>_xlfn.STDEV.P(J129,L129,N129)</f>
        <v>66.833125519211407</v>
      </c>
      <c r="W129" s="68">
        <f t="shared" ref="W129" si="225">U129-V129</f>
        <v>113.16687448078859</v>
      </c>
      <c r="X129" s="68">
        <f t="shared" ref="X129" si="226">U129+V129</f>
        <v>246.83312551921142</v>
      </c>
      <c r="Y129" s="69">
        <f>AVERAGE(J129)</f>
        <v>200</v>
      </c>
      <c r="Z129" s="69">
        <f>MEDIAN(J129)</f>
        <v>200</v>
      </c>
      <c r="AA129" s="70">
        <f>_xlfn.STDEV.P(J129)</f>
        <v>0</v>
      </c>
      <c r="AB129" s="71">
        <f t="shared" ref="AB129" si="227">AA129/Y129</f>
        <v>0</v>
      </c>
      <c r="AC129" s="70" t="str">
        <f t="shared" ref="AC129" si="228">IF(AB129&lt;25%,"Média",IF(AB129&gt;=25%,"Mediana"))</f>
        <v>Média</v>
      </c>
      <c r="AD129" s="44">
        <f t="shared" si="216"/>
        <v>200</v>
      </c>
    </row>
    <row r="130" spans="2:30" ht="63" x14ac:dyDescent="0.25">
      <c r="B130" s="8" t="s">
        <v>264</v>
      </c>
      <c r="C130" s="8" t="s">
        <v>265</v>
      </c>
      <c r="D130" s="8" t="s">
        <v>244</v>
      </c>
      <c r="E130" s="18"/>
      <c r="F130" s="18"/>
      <c r="G130" s="18"/>
      <c r="H130" s="18"/>
      <c r="I130" s="18"/>
      <c r="J130" s="36">
        <v>350</v>
      </c>
      <c r="K130" s="18"/>
      <c r="L130" s="19">
        <v>220</v>
      </c>
      <c r="M130" s="72">
        <v>250</v>
      </c>
      <c r="N130" s="72">
        <v>110</v>
      </c>
      <c r="O130" s="20">
        <v>120</v>
      </c>
      <c r="P130" s="19">
        <v>172</v>
      </c>
      <c r="Q130" s="18"/>
      <c r="R130" s="18"/>
      <c r="S130" s="18"/>
      <c r="T130" s="18"/>
      <c r="U130" s="67">
        <f>AVERAGE(L130:P130)</f>
        <v>174.4</v>
      </c>
      <c r="V130" s="67">
        <f>_xlfn.STDEV.P(L130:P130)</f>
        <v>54.602564042359766</v>
      </c>
      <c r="W130" s="68">
        <f t="shared" ref="W130" si="229">U130-V130</f>
        <v>119.79743595764023</v>
      </c>
      <c r="X130" s="68">
        <f t="shared" ref="X130" si="230">U130+V130</f>
        <v>229.00256404235978</v>
      </c>
      <c r="Y130" s="69">
        <f>AVERAGE(L130,O130:P130)</f>
        <v>170.66666666666666</v>
      </c>
      <c r="Z130" s="69">
        <f>MEDIAN(L130,O130:P130)</f>
        <v>172</v>
      </c>
      <c r="AA130" s="70">
        <f>_xlfn.STDEV.P(L130,O130:P130)</f>
        <v>40.835714216302812</v>
      </c>
      <c r="AB130" s="71">
        <f t="shared" ref="AB130" si="231">AA130/Y130</f>
        <v>0.2392717629861493</v>
      </c>
      <c r="AC130" s="70" t="str">
        <f t="shared" ref="AC130" si="232">IF(AB130&lt;25%,"Média",IF(AB130&gt;=25%,"Mediana"))</f>
        <v>Média</v>
      </c>
      <c r="AD130" s="44">
        <f t="shared" si="216"/>
        <v>170.66666666666666</v>
      </c>
    </row>
    <row r="131" spans="2:30" ht="47.25" x14ac:dyDescent="0.25">
      <c r="B131" s="8" t="s">
        <v>267</v>
      </c>
      <c r="C131" s="8" t="s">
        <v>268</v>
      </c>
      <c r="D131" s="8" t="s">
        <v>244</v>
      </c>
      <c r="E131" s="18"/>
      <c r="F131" s="18"/>
      <c r="G131" s="18"/>
      <c r="H131" s="18"/>
      <c r="I131" s="18"/>
      <c r="J131" s="72">
        <v>200</v>
      </c>
      <c r="K131" s="18"/>
      <c r="L131" s="72">
        <v>210</v>
      </c>
      <c r="M131" s="19">
        <v>140</v>
      </c>
      <c r="N131" s="72">
        <v>90</v>
      </c>
      <c r="O131" s="18"/>
      <c r="P131" s="19">
        <v>135</v>
      </c>
      <c r="Q131" s="18"/>
      <c r="R131" s="18"/>
      <c r="S131" s="18"/>
      <c r="T131" s="18"/>
      <c r="U131" s="67">
        <f>AVERAGE(J131,L131:P131)</f>
        <v>155</v>
      </c>
      <c r="V131" s="67">
        <f>_xlfn.STDEV.P(J131,L131:P131)</f>
        <v>44.497190922573978</v>
      </c>
      <c r="W131" s="68">
        <f t="shared" ref="W131" si="233">U131-V131</f>
        <v>110.50280907742602</v>
      </c>
      <c r="X131" s="68">
        <f t="shared" ref="X131" si="234">U131+V131</f>
        <v>199.49719092257396</v>
      </c>
      <c r="Y131" s="69">
        <f>AVERAGE(M131,P131)</f>
        <v>137.5</v>
      </c>
      <c r="Z131" s="69">
        <f>MEDIAN(M131,P131)</f>
        <v>137.5</v>
      </c>
      <c r="AA131" s="70">
        <f>_xlfn.STDEV.P(M131,P131)</f>
        <v>2.5</v>
      </c>
      <c r="AB131" s="71">
        <f t="shared" ref="AB131" si="235">AA131/Y131</f>
        <v>1.8181818181818181E-2</v>
      </c>
      <c r="AC131" s="70" t="str">
        <f t="shared" ref="AC131" si="236">IF(AB131&lt;25%,"Média",IF(AB131&gt;=25%,"Mediana"))</f>
        <v>Média</v>
      </c>
      <c r="AD131" s="44">
        <f t="shared" si="216"/>
        <v>137.5</v>
      </c>
    </row>
    <row r="132" spans="2:30" ht="63" x14ac:dyDescent="0.25">
      <c r="B132" s="8" t="s">
        <v>270</v>
      </c>
      <c r="C132" s="8" t="s">
        <v>271</v>
      </c>
      <c r="D132" s="8" t="s">
        <v>244</v>
      </c>
      <c r="E132" s="18"/>
      <c r="F132" s="18"/>
      <c r="G132" s="18"/>
      <c r="H132" s="18"/>
      <c r="I132" s="18"/>
      <c r="J132" s="18"/>
      <c r="K132" s="18"/>
      <c r="L132" s="19">
        <v>240</v>
      </c>
      <c r="M132" s="22"/>
      <c r="N132" s="19">
        <v>145</v>
      </c>
      <c r="O132" s="18"/>
      <c r="P132" s="18"/>
      <c r="Q132" s="18"/>
      <c r="R132" s="18"/>
      <c r="S132" s="18"/>
      <c r="T132" s="18"/>
      <c r="U132" s="128" t="s">
        <v>819</v>
      </c>
      <c r="V132" s="129"/>
      <c r="W132" s="129"/>
      <c r="X132" s="129"/>
      <c r="Y132" s="129"/>
      <c r="Z132" s="129"/>
      <c r="AA132" s="129"/>
      <c r="AB132" s="129"/>
      <c r="AC132" s="130"/>
      <c r="AD132" s="44">
        <f>AVERAGE(L132,N132)</f>
        <v>192.5</v>
      </c>
    </row>
    <row r="133" spans="2:30" ht="31.5" x14ac:dyDescent="0.25">
      <c r="B133" s="8" t="s">
        <v>279</v>
      </c>
      <c r="C133" s="8" t="s">
        <v>280</v>
      </c>
      <c r="D133" s="8" t="s">
        <v>7</v>
      </c>
      <c r="E133" s="18"/>
      <c r="F133" s="18"/>
      <c r="G133" s="19">
        <v>1200</v>
      </c>
      <c r="H133" s="18"/>
      <c r="I133" s="18"/>
      <c r="J133" s="18"/>
      <c r="K133" s="18"/>
      <c r="L133" s="18"/>
      <c r="M133" s="18"/>
      <c r="N133" s="18"/>
      <c r="O133" s="18"/>
      <c r="P133" s="18"/>
      <c r="Q133" s="18"/>
      <c r="R133" s="18"/>
      <c r="S133" s="18"/>
      <c r="T133" s="18"/>
      <c r="U133" s="128" t="s">
        <v>796</v>
      </c>
      <c r="V133" s="129"/>
      <c r="W133" s="129"/>
      <c r="X133" s="129"/>
      <c r="Y133" s="129"/>
      <c r="Z133" s="129"/>
      <c r="AA133" s="129"/>
      <c r="AB133" s="129"/>
      <c r="AC133" s="130"/>
      <c r="AD133" s="44">
        <f>G133</f>
        <v>1200</v>
      </c>
    </row>
    <row r="134" spans="2:30" ht="110.25" x14ac:dyDescent="0.25">
      <c r="B134" s="8" t="s">
        <v>282</v>
      </c>
      <c r="C134" s="8" t="s">
        <v>283</v>
      </c>
      <c r="D134" s="8" t="s">
        <v>284</v>
      </c>
      <c r="E134" s="18"/>
      <c r="F134" s="18"/>
      <c r="G134" s="18"/>
      <c r="H134" s="18"/>
      <c r="I134" s="18"/>
      <c r="J134" s="18"/>
      <c r="K134" s="18"/>
      <c r="L134" s="18"/>
      <c r="M134" s="18"/>
      <c r="N134" s="18"/>
      <c r="O134" s="18"/>
      <c r="P134" s="18"/>
      <c r="Q134" s="19">
        <v>24</v>
      </c>
      <c r="R134" s="18"/>
      <c r="S134" s="18"/>
      <c r="T134" s="18"/>
      <c r="U134" s="128" t="s">
        <v>796</v>
      </c>
      <c r="V134" s="129"/>
      <c r="W134" s="129"/>
      <c r="X134" s="129"/>
      <c r="Y134" s="129"/>
      <c r="Z134" s="129"/>
      <c r="AA134" s="129"/>
      <c r="AB134" s="129"/>
      <c r="AC134" s="130"/>
      <c r="AD134" s="44">
        <f>Q134</f>
        <v>24</v>
      </c>
    </row>
    <row r="135" spans="2:30" ht="78.75" x14ac:dyDescent="0.25">
      <c r="B135" s="8" t="s">
        <v>286</v>
      </c>
      <c r="C135" s="8" t="s">
        <v>287</v>
      </c>
      <c r="D135" s="8" t="s">
        <v>154</v>
      </c>
      <c r="E135" s="18"/>
      <c r="F135" s="18"/>
      <c r="G135" s="18"/>
      <c r="H135" s="18"/>
      <c r="I135" s="18"/>
      <c r="J135" s="18"/>
      <c r="K135" s="18"/>
      <c r="L135" s="18"/>
      <c r="M135" s="18"/>
      <c r="N135" s="18"/>
      <c r="O135" s="18"/>
      <c r="P135" s="18"/>
      <c r="Q135" s="19">
        <f>400/6</f>
        <v>66.666666666666671</v>
      </c>
      <c r="R135" s="18"/>
      <c r="S135" s="18"/>
      <c r="T135" s="18"/>
      <c r="U135" s="128" t="s">
        <v>796</v>
      </c>
      <c r="V135" s="129"/>
      <c r="W135" s="129"/>
      <c r="X135" s="129"/>
      <c r="Y135" s="129"/>
      <c r="Z135" s="129"/>
      <c r="AA135" s="129"/>
      <c r="AB135" s="129"/>
      <c r="AC135" s="130"/>
      <c r="AD135" s="44">
        <f>Q135</f>
        <v>66.666666666666671</v>
      </c>
    </row>
    <row r="136" spans="2:30" ht="63" x14ac:dyDescent="0.25">
      <c r="B136" s="8" t="s">
        <v>456</v>
      </c>
      <c r="C136" s="8" t="s">
        <v>457</v>
      </c>
      <c r="D136" s="8" t="s">
        <v>232</v>
      </c>
      <c r="E136" s="18"/>
      <c r="F136" s="18"/>
      <c r="G136" s="18"/>
      <c r="H136" s="18"/>
      <c r="I136" s="18"/>
      <c r="J136" s="18"/>
      <c r="K136" s="18"/>
      <c r="L136" s="19">
        <v>140</v>
      </c>
      <c r="M136" s="72">
        <v>180</v>
      </c>
      <c r="N136" s="72">
        <v>90</v>
      </c>
      <c r="O136" s="18"/>
      <c r="P136" s="18"/>
      <c r="Q136" s="18"/>
      <c r="R136" s="18"/>
      <c r="S136" s="18"/>
      <c r="T136" s="18"/>
      <c r="U136" s="67">
        <f>AVERAGE(L136:N136)</f>
        <v>136.66666666666666</v>
      </c>
      <c r="V136" s="67">
        <f>_xlfn.STDEV.P(L136:N136)</f>
        <v>36.817870057290868</v>
      </c>
      <c r="W136" s="68">
        <f t="shared" ref="W136" si="237">U136-V136</f>
        <v>99.848796609375796</v>
      </c>
      <c r="X136" s="68">
        <f t="shared" ref="X136" si="238">U136+V136</f>
        <v>173.48453672395752</v>
      </c>
      <c r="Y136" s="69">
        <f>AVERAGE(L136)</f>
        <v>140</v>
      </c>
      <c r="Z136" s="69">
        <f>MEDIAN(L136)</f>
        <v>140</v>
      </c>
      <c r="AA136" s="70">
        <f>_xlfn.STDEV.P(M136,P136)</f>
        <v>0</v>
      </c>
      <c r="AB136" s="71">
        <f t="shared" ref="AB136" si="239">AA136/Y136</f>
        <v>0</v>
      </c>
      <c r="AC136" s="70" t="str">
        <f t="shared" ref="AC136" si="240">IF(AB136&lt;25%,"Média",IF(AB136&gt;=25%,"Mediana"))</f>
        <v>Média</v>
      </c>
      <c r="AD136" s="44">
        <f>Y136</f>
        <v>140</v>
      </c>
    </row>
    <row r="137" spans="2:30" ht="63" x14ac:dyDescent="0.25">
      <c r="B137" s="8" t="s">
        <v>458</v>
      </c>
      <c r="C137" s="8" t="s">
        <v>459</v>
      </c>
      <c r="D137" s="8" t="s">
        <v>232</v>
      </c>
      <c r="E137" s="18"/>
      <c r="F137" s="18"/>
      <c r="G137" s="18"/>
      <c r="H137" s="18"/>
      <c r="I137" s="18"/>
      <c r="J137" s="18"/>
      <c r="K137" s="18"/>
      <c r="L137" s="19">
        <v>140</v>
      </c>
      <c r="M137" s="72">
        <v>180</v>
      </c>
      <c r="N137" s="72">
        <v>90</v>
      </c>
      <c r="O137" s="18"/>
      <c r="P137" s="18"/>
      <c r="Q137" s="18"/>
      <c r="R137" s="18"/>
      <c r="S137" s="18"/>
      <c r="T137" s="18"/>
      <c r="U137" s="67">
        <f>AVERAGE(L137:N137)</f>
        <v>136.66666666666666</v>
      </c>
      <c r="V137" s="67">
        <f>_xlfn.STDEV.P(L137:N137)</f>
        <v>36.817870057290868</v>
      </c>
      <c r="W137" s="68">
        <f t="shared" ref="W137" si="241">U137-V137</f>
        <v>99.848796609375796</v>
      </c>
      <c r="X137" s="68">
        <f t="shared" ref="X137" si="242">U137+V137</f>
        <v>173.48453672395752</v>
      </c>
      <c r="Y137" s="69">
        <f>AVERAGE(L137)</f>
        <v>140</v>
      </c>
      <c r="Z137" s="69">
        <f>MEDIAN(L137)</f>
        <v>140</v>
      </c>
      <c r="AA137" s="70">
        <f>_xlfn.STDEV.P(M137,P137)</f>
        <v>0</v>
      </c>
      <c r="AB137" s="71">
        <f t="shared" ref="AB137" si="243">AA137/Y137</f>
        <v>0</v>
      </c>
      <c r="AC137" s="70" t="str">
        <f t="shared" ref="AC137" si="244">IF(AB137&lt;25%,"Média",IF(AB137&gt;=25%,"Mediana"))</f>
        <v>Média</v>
      </c>
      <c r="AD137" s="44">
        <f>Y137</f>
        <v>140</v>
      </c>
    </row>
    <row r="138" spans="2:30" ht="94.5" x14ac:dyDescent="0.25">
      <c r="B138" s="8" t="s">
        <v>273</v>
      </c>
      <c r="C138" s="8" t="s">
        <v>274</v>
      </c>
      <c r="D138" s="8" t="s">
        <v>244</v>
      </c>
      <c r="E138" s="18"/>
      <c r="F138" s="18"/>
      <c r="G138" s="18"/>
      <c r="H138" s="18"/>
      <c r="I138" s="18"/>
      <c r="J138" s="19">
        <v>200</v>
      </c>
      <c r="K138" s="18"/>
      <c r="L138" s="18"/>
      <c r="M138" s="18"/>
      <c r="N138" s="19">
        <v>100</v>
      </c>
      <c r="O138" s="18"/>
      <c r="P138" s="18"/>
      <c r="Q138" s="18"/>
      <c r="R138" s="18"/>
      <c r="S138" s="18"/>
      <c r="T138" s="18"/>
      <c r="U138" s="128" t="s">
        <v>819</v>
      </c>
      <c r="V138" s="129"/>
      <c r="W138" s="129"/>
      <c r="X138" s="129"/>
      <c r="Y138" s="129"/>
      <c r="Z138" s="129"/>
      <c r="AA138" s="129"/>
      <c r="AB138" s="129"/>
      <c r="AC138" s="130"/>
      <c r="AD138" s="44">
        <f>AVERAGE(J138,N138)</f>
        <v>150</v>
      </c>
    </row>
    <row r="139" spans="2:30" ht="47.25" x14ac:dyDescent="0.25">
      <c r="B139" s="8" t="s">
        <v>462</v>
      </c>
      <c r="C139" s="8" t="s">
        <v>463</v>
      </c>
      <c r="D139" s="8" t="s">
        <v>244</v>
      </c>
      <c r="E139" s="18"/>
      <c r="F139" s="18"/>
      <c r="G139" s="18"/>
      <c r="H139" s="18"/>
      <c r="I139" s="18"/>
      <c r="J139" s="18"/>
      <c r="K139" s="19">
        <v>140</v>
      </c>
      <c r="L139" s="19">
        <v>140</v>
      </c>
      <c r="M139" s="18"/>
      <c r="N139" s="72">
        <v>70</v>
      </c>
      <c r="O139" s="20">
        <v>120</v>
      </c>
      <c r="P139" s="18"/>
      <c r="Q139" s="18"/>
      <c r="R139" s="18"/>
      <c r="S139" s="18"/>
      <c r="T139" s="18"/>
      <c r="U139" s="67">
        <f>AVERAGE(K139:L139,N139:O139)</f>
        <v>117.5</v>
      </c>
      <c r="V139" s="67">
        <f>_xlfn.STDEV.P(K139:L139,N139:O139)</f>
        <v>28.613807855648993</v>
      </c>
      <c r="W139" s="68">
        <f t="shared" ref="W139" si="245">U139-V139</f>
        <v>88.886192144351014</v>
      </c>
      <c r="X139" s="68">
        <f t="shared" ref="X139" si="246">U139+V139</f>
        <v>146.11380785564899</v>
      </c>
      <c r="Y139" s="69">
        <f>AVERAGE(K139:L139,O139)</f>
        <v>133.33333333333334</v>
      </c>
      <c r="Z139" s="69">
        <f>MEDIAN(K139:L139,O139)</f>
        <v>140</v>
      </c>
      <c r="AA139" s="70">
        <f>_xlfn.STDEV.P(K139:L139,O139)</f>
        <v>9.4280904158206322</v>
      </c>
      <c r="AB139" s="71">
        <f t="shared" ref="AB139" si="247">AA139/Y139</f>
        <v>7.0710678118654738E-2</v>
      </c>
      <c r="AC139" s="70" t="str">
        <f t="shared" ref="AC139" si="248">IF(AB139&lt;25%,"Média",IF(AB139&gt;=25%,"Mediana"))</f>
        <v>Média</v>
      </c>
      <c r="AD139" s="44">
        <f>Y139</f>
        <v>133.33333333333334</v>
      </c>
    </row>
    <row r="140" spans="2:30" ht="63" x14ac:dyDescent="0.25">
      <c r="B140" s="8" t="s">
        <v>276</v>
      </c>
      <c r="C140" s="8" t="s">
        <v>277</v>
      </c>
      <c r="D140" s="8" t="s">
        <v>244</v>
      </c>
      <c r="E140" s="18"/>
      <c r="F140" s="18"/>
      <c r="G140" s="18"/>
      <c r="H140" s="18"/>
      <c r="I140" s="18"/>
      <c r="J140" s="36">
        <v>250</v>
      </c>
      <c r="K140" s="18"/>
      <c r="L140" s="72">
        <v>140</v>
      </c>
      <c r="M140" s="72">
        <v>140</v>
      </c>
      <c r="N140" s="19">
        <v>100</v>
      </c>
      <c r="O140" s="18"/>
      <c r="P140" s="74">
        <v>98</v>
      </c>
      <c r="Q140" s="20">
        <v>110</v>
      </c>
      <c r="R140" s="18"/>
      <c r="S140" s="18"/>
      <c r="T140" s="18"/>
      <c r="U140" s="67">
        <f>AVERAGE(L140:N140,P140:Q140)</f>
        <v>117.6</v>
      </c>
      <c r="V140" s="67">
        <f>_xlfn.STDEV.P(L140:N140,P140:Q140)</f>
        <v>18.736061485808591</v>
      </c>
      <c r="W140" s="68">
        <f t="shared" ref="W140" si="249">U140-V140</f>
        <v>98.863938514191403</v>
      </c>
      <c r="X140" s="68">
        <f t="shared" ref="X140" si="250">U140+V140</f>
        <v>136.33606148580859</v>
      </c>
      <c r="Y140" s="69">
        <f>AVERAGE(N140,Q140)</f>
        <v>105</v>
      </c>
      <c r="Z140" s="69">
        <f>MEDIAN(N140,Q140)</f>
        <v>105</v>
      </c>
      <c r="AA140" s="70">
        <f>_xlfn.STDEV.P(N140,Q140)</f>
        <v>5</v>
      </c>
      <c r="AB140" s="71">
        <f t="shared" ref="AB140" si="251">AA140/Y140</f>
        <v>4.7619047619047616E-2</v>
      </c>
      <c r="AC140" s="70" t="str">
        <f t="shared" ref="AC140" si="252">IF(AB140&lt;25%,"Média",IF(AB140&gt;=25%,"Mediana"))</f>
        <v>Média</v>
      </c>
      <c r="AD140" s="44">
        <f>Y140</f>
        <v>105</v>
      </c>
    </row>
    <row r="141" spans="2:30" ht="141.75" x14ac:dyDescent="0.25">
      <c r="B141" s="8" t="s">
        <v>649</v>
      </c>
      <c r="C141" s="8" t="s">
        <v>650</v>
      </c>
      <c r="D141" s="8" t="s">
        <v>154</v>
      </c>
      <c r="E141" s="18"/>
      <c r="F141" s="18"/>
      <c r="G141" s="18"/>
      <c r="H141" s="18"/>
      <c r="I141" s="18"/>
      <c r="J141" s="18"/>
      <c r="K141" s="18"/>
      <c r="L141" s="18"/>
      <c r="M141" s="18"/>
      <c r="N141" s="18"/>
      <c r="O141" s="18"/>
      <c r="P141" s="18"/>
      <c r="Q141" s="19">
        <f>250/6</f>
        <v>41.666666666666664</v>
      </c>
      <c r="R141" s="18"/>
      <c r="S141" s="19">
        <v>68.75</v>
      </c>
      <c r="T141" s="22"/>
      <c r="U141" s="128" t="s">
        <v>819</v>
      </c>
      <c r="V141" s="129"/>
      <c r="W141" s="129"/>
      <c r="X141" s="129"/>
      <c r="Y141" s="129"/>
      <c r="Z141" s="129"/>
      <c r="AA141" s="129"/>
      <c r="AB141" s="129"/>
      <c r="AC141" s="130"/>
      <c r="AD141" s="44">
        <f>AVERAGE(Q141,S141)</f>
        <v>55.208333333333329</v>
      </c>
    </row>
    <row r="142" spans="2:30" ht="63" x14ac:dyDescent="0.25">
      <c r="B142" s="8" t="s">
        <v>466</v>
      </c>
      <c r="C142" s="8" t="s">
        <v>467</v>
      </c>
      <c r="D142" s="8" t="s">
        <v>154</v>
      </c>
      <c r="E142" s="18"/>
      <c r="F142" s="18"/>
      <c r="G142" s="18"/>
      <c r="H142" s="18"/>
      <c r="I142" s="18"/>
      <c r="J142" s="19">
        <f>1000/6</f>
        <v>166.66666666666666</v>
      </c>
      <c r="K142" s="18"/>
      <c r="L142" s="18"/>
      <c r="M142" s="19">
        <f>293/2</f>
        <v>146.5</v>
      </c>
      <c r="N142" s="22"/>
      <c r="O142" s="18"/>
      <c r="P142" s="18"/>
      <c r="Q142" s="72">
        <f>400/6</f>
        <v>66.666666666666671</v>
      </c>
      <c r="R142" s="18"/>
      <c r="S142" s="18"/>
      <c r="T142" s="18"/>
      <c r="U142" s="67">
        <f>AVERAGE(J142,M142,Q142)</f>
        <v>126.6111111111111</v>
      </c>
      <c r="V142" s="67">
        <f>_xlfn.STDEV.P(J142,M142,Q142)</f>
        <v>43.179284585133544</v>
      </c>
      <c r="W142" s="68">
        <f t="shared" ref="W142" si="253">U142-V142</f>
        <v>83.431826525977556</v>
      </c>
      <c r="X142" s="68">
        <f t="shared" ref="X142" si="254">U142+V142</f>
        <v>169.79039569624464</v>
      </c>
      <c r="Y142" s="69">
        <f>AVERAGE(J142,M142)</f>
        <v>156.58333333333331</v>
      </c>
      <c r="Z142" s="69">
        <f>MEDIAN(J142,M142)</f>
        <v>156.58333333333331</v>
      </c>
      <c r="AA142" s="70">
        <f>_xlfn.STDEV.P(J142,M142)</f>
        <v>10.083333333333329</v>
      </c>
      <c r="AB142" s="71">
        <f t="shared" ref="AB142" si="255">AA142/Y142</f>
        <v>6.4395955295369858E-2</v>
      </c>
      <c r="AC142" s="70" t="str">
        <f t="shared" ref="AC142" si="256">IF(AB142&lt;25%,"Média",IF(AB142&gt;=25%,"Mediana"))</f>
        <v>Média</v>
      </c>
      <c r="AD142" s="44">
        <f>Y142</f>
        <v>156.58333333333331</v>
      </c>
    </row>
    <row r="143" spans="2:30" ht="15.75" x14ac:dyDescent="0.25">
      <c r="B143" s="8"/>
      <c r="C143" s="8"/>
      <c r="D143" s="8"/>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row>
    <row r="144" spans="2:30" ht="15.75" x14ac:dyDescent="0.25">
      <c r="B144" s="31"/>
      <c r="C144" s="31"/>
      <c r="D144" s="31"/>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row>
    <row r="145" spans="2:30" ht="47.25" x14ac:dyDescent="0.25">
      <c r="B145" s="8" t="s">
        <v>468</v>
      </c>
      <c r="C145" s="8" t="s">
        <v>469</v>
      </c>
      <c r="D145" s="8" t="s">
        <v>470</v>
      </c>
      <c r="E145" s="18"/>
      <c r="F145" s="18"/>
      <c r="G145" s="18"/>
      <c r="H145" s="18"/>
      <c r="I145" s="18"/>
      <c r="J145" s="18"/>
      <c r="K145" s="18"/>
      <c r="L145" s="18"/>
      <c r="M145" s="18"/>
      <c r="N145" s="72">
        <v>16</v>
      </c>
      <c r="O145" s="18"/>
      <c r="P145" s="18"/>
      <c r="Q145" s="19">
        <v>5</v>
      </c>
      <c r="R145" s="19">
        <v>4.87</v>
      </c>
      <c r="S145" s="18"/>
      <c r="T145" s="18"/>
      <c r="U145" s="67">
        <f>AVERAGE(N145,Q145:R145)</f>
        <v>8.6233333333333331</v>
      </c>
      <c r="V145" s="67">
        <f>_xlfn.STDEV.P(N145,Q145:R145)</f>
        <v>5.2163610134098484</v>
      </c>
      <c r="W145" s="68">
        <f t="shared" ref="W145" si="257">U145-V145</f>
        <v>3.4069723199234847</v>
      </c>
      <c r="X145" s="68">
        <f t="shared" ref="X145" si="258">U145+V145</f>
        <v>13.839694346743181</v>
      </c>
      <c r="Y145" s="69">
        <f>AVERAGE(Q145:R145)</f>
        <v>4.9350000000000005</v>
      </c>
      <c r="Z145" s="69">
        <f>MEDIAN(Q145:R145)</f>
        <v>4.9350000000000005</v>
      </c>
      <c r="AA145" s="70">
        <f>_xlfn.STDEV.P(Q145:R145)</f>
        <v>6.4999999999999947E-2</v>
      </c>
      <c r="AB145" s="71">
        <f t="shared" ref="AB145" si="259">AA145/Y145</f>
        <v>1.3171225937183373E-2</v>
      </c>
      <c r="AC145" s="70" t="str">
        <f t="shared" ref="AC145" si="260">IF(AB145&lt;25%,"Média",IF(AB145&gt;=25%,"Mediana"))</f>
        <v>Média</v>
      </c>
      <c r="AD145" s="44">
        <f>Y145</f>
        <v>4.9350000000000005</v>
      </c>
    </row>
    <row r="146" spans="2:30" ht="63" x14ac:dyDescent="0.25">
      <c r="B146" s="8" t="s">
        <v>471</v>
      </c>
      <c r="C146" s="8" t="s">
        <v>472</v>
      </c>
      <c r="D146" s="8" t="s">
        <v>470</v>
      </c>
      <c r="E146" s="18"/>
      <c r="F146" s="18"/>
      <c r="G146" s="18"/>
      <c r="H146" s="18"/>
      <c r="I146" s="18"/>
      <c r="J146" s="18"/>
      <c r="K146" s="18"/>
      <c r="L146" s="19">
        <v>15</v>
      </c>
      <c r="M146" s="18"/>
      <c r="N146" s="18"/>
      <c r="O146" s="18"/>
      <c r="P146" s="18"/>
      <c r="Q146" s="36">
        <v>1</v>
      </c>
      <c r="R146" s="19">
        <v>7.37</v>
      </c>
      <c r="S146" s="18"/>
      <c r="T146" s="18"/>
      <c r="U146" s="128" t="s">
        <v>800</v>
      </c>
      <c r="V146" s="129"/>
      <c r="W146" s="129"/>
      <c r="X146" s="129"/>
      <c r="Y146" s="129"/>
      <c r="Z146" s="129"/>
      <c r="AA146" s="129"/>
      <c r="AB146" s="129"/>
      <c r="AC146" s="130"/>
      <c r="AD146" s="44">
        <f>AVERAGE(L146,R146)</f>
        <v>11.185</v>
      </c>
    </row>
    <row r="147" spans="2:30" ht="94.5" x14ac:dyDescent="0.25">
      <c r="B147" s="8" t="s">
        <v>473</v>
      </c>
      <c r="C147" s="8" t="s">
        <v>474</v>
      </c>
      <c r="D147" s="8" t="s">
        <v>475</v>
      </c>
      <c r="E147" s="18"/>
      <c r="F147" s="19">
        <v>220</v>
      </c>
      <c r="G147" s="36">
        <v>2200</v>
      </c>
      <c r="H147" s="19">
        <v>200</v>
      </c>
      <c r="I147" s="36">
        <v>890</v>
      </c>
      <c r="J147" s="18"/>
      <c r="K147" s="18"/>
      <c r="L147" s="18"/>
      <c r="M147" s="18"/>
      <c r="N147" s="18"/>
      <c r="O147" s="18"/>
      <c r="P147" s="18"/>
      <c r="Q147" s="18"/>
      <c r="R147" s="18"/>
      <c r="S147" s="18"/>
      <c r="T147" s="18"/>
      <c r="U147" s="131" t="s">
        <v>820</v>
      </c>
      <c r="V147" s="132"/>
      <c r="W147" s="132"/>
      <c r="X147" s="132"/>
      <c r="Y147" s="132"/>
      <c r="Z147" s="132"/>
      <c r="AA147" s="132"/>
      <c r="AB147" s="132"/>
      <c r="AC147" s="133"/>
      <c r="AD147" s="44">
        <f>AVERAGE(F147,H147)</f>
        <v>210</v>
      </c>
    </row>
    <row r="148" spans="2:30" ht="31.5" x14ac:dyDescent="0.25">
      <c r="B148" s="8" t="s">
        <v>476</v>
      </c>
      <c r="C148" s="8" t="s">
        <v>477</v>
      </c>
      <c r="D148" s="8" t="s">
        <v>70</v>
      </c>
      <c r="E148" s="18"/>
      <c r="F148" s="18"/>
      <c r="G148" s="72">
        <v>340</v>
      </c>
      <c r="H148" s="18"/>
      <c r="I148" s="19">
        <v>330</v>
      </c>
      <c r="J148" s="18"/>
      <c r="K148" s="18"/>
      <c r="L148" s="72">
        <v>150</v>
      </c>
      <c r="M148" s="19">
        <v>200</v>
      </c>
      <c r="N148" s="22"/>
      <c r="O148" s="18"/>
      <c r="P148" s="18"/>
      <c r="Q148" s="18"/>
      <c r="R148" s="18"/>
      <c r="S148" s="18"/>
      <c r="T148" s="18"/>
      <c r="U148" s="67">
        <f>AVERAGE(G148,I148,L148:M148)</f>
        <v>255</v>
      </c>
      <c r="V148" s="67">
        <f>_xlfn.STDEV.P(G148,I148,L148:M148)</f>
        <v>82.006097334283623</v>
      </c>
      <c r="W148" s="68">
        <f t="shared" ref="W148" si="261">U148-V148</f>
        <v>172.99390266571638</v>
      </c>
      <c r="X148" s="68">
        <f t="shared" ref="X148" si="262">U148+V148</f>
        <v>337.0060973342836</v>
      </c>
      <c r="Y148" s="69">
        <f>AVERAGE(I148,M148)</f>
        <v>265</v>
      </c>
      <c r="Z148" s="69">
        <f>MEDIAN(I148,M148)</f>
        <v>265</v>
      </c>
      <c r="AA148" s="70">
        <f>_xlfn.STDEV.P(I148,M148)</f>
        <v>65</v>
      </c>
      <c r="AB148" s="71">
        <f t="shared" ref="AB148" si="263">AA148/Y148</f>
        <v>0.24528301886792453</v>
      </c>
      <c r="AC148" s="70" t="str">
        <f t="shared" ref="AC148" si="264">IF(AB148&lt;25%,"Média",IF(AB148&gt;=25%,"Mediana"))</f>
        <v>Média</v>
      </c>
      <c r="AD148" s="44">
        <f>Y148</f>
        <v>265</v>
      </c>
    </row>
    <row r="149" spans="2:30" ht="31.5" x14ac:dyDescent="0.25">
      <c r="B149" s="8" t="s">
        <v>476</v>
      </c>
      <c r="C149" s="8" t="s">
        <v>478</v>
      </c>
      <c r="D149" s="8" t="s">
        <v>70</v>
      </c>
      <c r="E149" s="18"/>
      <c r="F149" s="18"/>
      <c r="G149" s="18"/>
      <c r="H149" s="18"/>
      <c r="I149" s="18"/>
      <c r="J149" s="18"/>
      <c r="K149" s="18"/>
      <c r="L149" s="19">
        <v>150</v>
      </c>
      <c r="M149" s="18"/>
      <c r="N149" s="18"/>
      <c r="O149" s="18"/>
      <c r="P149" s="18"/>
      <c r="Q149" s="18"/>
      <c r="R149" s="19">
        <v>114</v>
      </c>
      <c r="S149" s="18"/>
      <c r="T149" s="18"/>
      <c r="U149" s="128" t="s">
        <v>819</v>
      </c>
      <c r="V149" s="129"/>
      <c r="W149" s="129"/>
      <c r="X149" s="129"/>
      <c r="Y149" s="129"/>
      <c r="Z149" s="129"/>
      <c r="AA149" s="129"/>
      <c r="AB149" s="129"/>
      <c r="AC149" s="130"/>
      <c r="AD149" s="44">
        <f>AVERAGE(L149,R149)</f>
        <v>132</v>
      </c>
    </row>
    <row r="150" spans="2:30" ht="47.25" x14ac:dyDescent="0.25">
      <c r="B150" s="8" t="s">
        <v>479</v>
      </c>
      <c r="C150" s="8" t="s">
        <v>480</v>
      </c>
      <c r="D150" s="8" t="s">
        <v>481</v>
      </c>
      <c r="E150" s="18"/>
      <c r="F150" s="18"/>
      <c r="G150" s="18"/>
      <c r="H150" s="18"/>
      <c r="I150" s="18"/>
      <c r="J150" s="18"/>
      <c r="K150" s="18"/>
      <c r="L150" s="18"/>
      <c r="M150" s="19">
        <v>110</v>
      </c>
      <c r="N150" s="22"/>
      <c r="O150" s="20">
        <v>70</v>
      </c>
      <c r="P150" s="18"/>
      <c r="Q150" s="19">
        <v>60</v>
      </c>
      <c r="R150" s="72">
        <v>173.45</v>
      </c>
      <c r="S150" s="18"/>
      <c r="T150" s="18"/>
      <c r="U150" s="67">
        <f>AVERAGE(M150,O150,Q150:R150)</f>
        <v>103.3625</v>
      </c>
      <c r="V150" s="67">
        <f>_xlfn.STDEV.P(M150,O150,Q150:R150)</f>
        <v>44.580480243599879</v>
      </c>
      <c r="W150" s="68">
        <f t="shared" ref="W150" si="265">U150-V150</f>
        <v>58.782019756400118</v>
      </c>
      <c r="X150" s="68">
        <f t="shared" ref="X150" si="266">U150+V150</f>
        <v>147.94298024359989</v>
      </c>
      <c r="Y150" s="69">
        <f>AVERAGE(M150,O150,Q150)</f>
        <v>80</v>
      </c>
      <c r="Z150" s="69">
        <f>MEDIAN(M150,O150,Q150)</f>
        <v>70</v>
      </c>
      <c r="AA150" s="70">
        <f>_xlfn.STDEV.P(M150,O150,Q150)</f>
        <v>21.602468994692867</v>
      </c>
      <c r="AB150" s="71">
        <f t="shared" ref="AB150" si="267">AA150/Y150</f>
        <v>0.27003086243366081</v>
      </c>
      <c r="AC150" s="70" t="str">
        <f t="shared" ref="AC150" si="268">IF(AB150&lt;25%,"Média",IF(AB150&gt;=25%,"Mediana"))</f>
        <v>Mediana</v>
      </c>
      <c r="AD150" s="44">
        <f>Z150</f>
        <v>70</v>
      </c>
    </row>
    <row r="151" spans="2:30" ht="31.5" x14ac:dyDescent="0.25">
      <c r="B151" s="8" t="s">
        <v>479</v>
      </c>
      <c r="C151" s="8" t="s">
        <v>482</v>
      </c>
      <c r="D151" s="8" t="s">
        <v>12</v>
      </c>
      <c r="E151" s="22"/>
      <c r="F151" s="19">
        <v>275</v>
      </c>
      <c r="G151" s="39">
        <v>900</v>
      </c>
      <c r="H151" s="19">
        <v>250</v>
      </c>
      <c r="I151" s="72">
        <v>220</v>
      </c>
      <c r="J151" s="72">
        <v>280</v>
      </c>
      <c r="K151" s="22"/>
      <c r="L151" s="22"/>
      <c r="M151" s="22"/>
      <c r="N151" s="22"/>
      <c r="O151" s="22"/>
      <c r="P151" s="22"/>
      <c r="Q151" s="18"/>
      <c r="R151" s="18"/>
      <c r="S151" s="18"/>
      <c r="T151" s="18"/>
      <c r="U151" s="67">
        <f>AVERAGE(F151,H151:J151)</f>
        <v>256.25</v>
      </c>
      <c r="V151" s="67">
        <f>_xlfn.STDEV.P(F151,H151:J151)</f>
        <v>23.815698604072061</v>
      </c>
      <c r="W151" s="68">
        <f t="shared" ref="W151" si="269">U151-V151</f>
        <v>232.43430139592795</v>
      </c>
      <c r="X151" s="68">
        <f t="shared" ref="X151" si="270">U151+V151</f>
        <v>280.06569860407205</v>
      </c>
      <c r="Y151" s="69">
        <f>AVERAGE(F151,H151)</f>
        <v>262.5</v>
      </c>
      <c r="Z151" s="69">
        <f>MEDIAN(F151,H151)</f>
        <v>262.5</v>
      </c>
      <c r="AA151" s="70">
        <f>_xlfn.STDEV.P(F151,H151)</f>
        <v>12.5</v>
      </c>
      <c r="AB151" s="71">
        <f t="shared" ref="AB151" si="271">AA151/Y151</f>
        <v>4.7619047619047616E-2</v>
      </c>
      <c r="AC151" s="70" t="str">
        <f t="shared" ref="AC151" si="272">IF(AB151&lt;25%,"Média",IF(AB151&gt;=25%,"Mediana"))</f>
        <v>Média</v>
      </c>
      <c r="AD151" s="44">
        <f>Y151</f>
        <v>262.5</v>
      </c>
    </row>
    <row r="152" spans="2:30" ht="31.5" x14ac:dyDescent="0.25">
      <c r="B152" s="8" t="s">
        <v>651</v>
      </c>
      <c r="C152" s="8" t="s">
        <v>652</v>
      </c>
      <c r="D152" s="8" t="s">
        <v>12</v>
      </c>
      <c r="E152" s="18"/>
      <c r="F152" s="18"/>
      <c r="G152" s="18"/>
      <c r="H152" s="18"/>
      <c r="I152" s="18"/>
      <c r="J152" s="19">
        <v>280</v>
      </c>
      <c r="K152" s="18"/>
      <c r="L152" s="18"/>
      <c r="M152" s="18"/>
      <c r="N152" s="18"/>
      <c r="O152" s="18"/>
      <c r="P152" s="18"/>
      <c r="Q152" s="72">
        <v>16</v>
      </c>
      <c r="R152" s="25">
        <v>160.75</v>
      </c>
      <c r="S152" s="18"/>
      <c r="T152" s="18"/>
      <c r="U152" s="67">
        <f>AVERAGE(J152,Q152:R152)</f>
        <v>152.25</v>
      </c>
      <c r="V152" s="67">
        <f>_xlfn.STDEV.P(J152,Q152:R152)</f>
        <v>107.94500914817692</v>
      </c>
      <c r="W152" s="68">
        <f t="shared" ref="W152" si="273">U152-V152</f>
        <v>44.304990851823078</v>
      </c>
      <c r="X152" s="68">
        <f t="shared" ref="X152" si="274">U152+V152</f>
        <v>260.19500914817695</v>
      </c>
      <c r="Y152" s="69">
        <f>AVERAGE(J152,R152)</f>
        <v>220.375</v>
      </c>
      <c r="Z152" s="69">
        <f>MEDIAN(J152,R152)</f>
        <v>220.375</v>
      </c>
      <c r="AA152" s="70">
        <f>_xlfn.STDEV.P(J152,R152)</f>
        <v>59.625</v>
      </c>
      <c r="AB152" s="71">
        <f t="shared" ref="AB152" si="275">AA152/Y152</f>
        <v>0.27056154282473055</v>
      </c>
      <c r="AC152" s="70" t="str">
        <f t="shared" ref="AC152" si="276">IF(AB152&lt;25%,"Média",IF(AB152&gt;=25%,"Mediana"))</f>
        <v>Mediana</v>
      </c>
      <c r="AD152" s="44">
        <f>Z152</f>
        <v>220.375</v>
      </c>
    </row>
    <row r="153" spans="2:30" ht="47.25" x14ac:dyDescent="0.25">
      <c r="B153" s="8" t="s">
        <v>483</v>
      </c>
      <c r="C153" s="8" t="s">
        <v>484</v>
      </c>
      <c r="D153" s="8" t="s">
        <v>70</v>
      </c>
      <c r="E153" s="36">
        <v>1500</v>
      </c>
      <c r="F153" s="18"/>
      <c r="G153" s="36">
        <v>800</v>
      </c>
      <c r="H153" s="18"/>
      <c r="I153" s="16">
        <v>550</v>
      </c>
      <c r="J153" s="18"/>
      <c r="K153" s="18"/>
      <c r="L153" s="22"/>
      <c r="M153" s="18"/>
      <c r="N153" s="18"/>
      <c r="O153" s="22"/>
      <c r="P153" s="18"/>
      <c r="Q153" s="18"/>
      <c r="R153" s="18"/>
      <c r="S153" s="18"/>
      <c r="T153" s="18"/>
      <c r="U153" s="128" t="s">
        <v>821</v>
      </c>
      <c r="V153" s="129"/>
      <c r="W153" s="129"/>
      <c r="X153" s="129"/>
      <c r="Y153" s="129"/>
      <c r="Z153" s="129"/>
      <c r="AA153" s="129"/>
      <c r="AB153" s="129"/>
      <c r="AC153" s="130"/>
      <c r="AD153" s="44">
        <f>I153</f>
        <v>550</v>
      </c>
    </row>
    <row r="154" spans="2:30" ht="94.5" x14ac:dyDescent="0.25">
      <c r="B154" s="8" t="s">
        <v>485</v>
      </c>
      <c r="C154" s="8" t="s">
        <v>486</v>
      </c>
      <c r="D154" s="8" t="s">
        <v>70</v>
      </c>
      <c r="E154" s="19">
        <v>250</v>
      </c>
      <c r="F154" s="18"/>
      <c r="G154" s="36">
        <v>900</v>
      </c>
      <c r="H154" s="18"/>
      <c r="I154" s="18"/>
      <c r="J154" s="18"/>
      <c r="K154" s="18"/>
      <c r="L154" s="18"/>
      <c r="M154" s="18"/>
      <c r="N154" s="18"/>
      <c r="O154" s="22"/>
      <c r="P154" s="18"/>
      <c r="Q154" s="18"/>
      <c r="R154" s="18"/>
      <c r="S154" s="18"/>
      <c r="T154" s="18"/>
      <c r="U154" s="128" t="s">
        <v>821</v>
      </c>
      <c r="V154" s="129"/>
      <c r="W154" s="129"/>
      <c r="X154" s="129"/>
      <c r="Y154" s="129"/>
      <c r="Z154" s="129"/>
      <c r="AA154" s="129"/>
      <c r="AB154" s="129"/>
      <c r="AC154" s="130"/>
      <c r="AD154" s="44">
        <f>E154</f>
        <v>250</v>
      </c>
    </row>
    <row r="155" spans="2:30" ht="63" x14ac:dyDescent="0.25">
      <c r="B155" s="8" t="s">
        <v>293</v>
      </c>
      <c r="C155" s="8" t="s">
        <v>294</v>
      </c>
      <c r="D155" s="8" t="s">
        <v>70</v>
      </c>
      <c r="E155" s="74">
        <v>320</v>
      </c>
      <c r="F155" s="74">
        <v>330</v>
      </c>
      <c r="G155" s="61">
        <v>200</v>
      </c>
      <c r="H155" s="74">
        <v>300</v>
      </c>
      <c r="I155" s="36">
        <v>660</v>
      </c>
      <c r="J155" s="61">
        <v>280</v>
      </c>
      <c r="K155" s="18"/>
      <c r="L155" s="61">
        <v>100</v>
      </c>
      <c r="M155" s="18"/>
      <c r="N155" s="18"/>
      <c r="O155" s="72">
        <v>50</v>
      </c>
      <c r="P155" s="74">
        <v>50</v>
      </c>
      <c r="Q155" s="18"/>
      <c r="R155" s="61">
        <v>118.15</v>
      </c>
      <c r="S155" s="72">
        <v>50</v>
      </c>
      <c r="T155" s="30"/>
      <c r="U155" s="67">
        <f>AVERAGE(E155:H155,J155,L155,O155:P155,R155:S155)</f>
        <v>179.815</v>
      </c>
      <c r="V155" s="67">
        <f>_xlfn.STDEV.P(E155:H155,J155,L155,O155:P155,R155:S155)</f>
        <v>113.05975422315402</v>
      </c>
      <c r="W155" s="68">
        <f t="shared" ref="W155" si="277">U155-V155</f>
        <v>66.755245776845982</v>
      </c>
      <c r="X155" s="68">
        <f t="shared" ref="X155" si="278">U155+V155</f>
        <v>292.87475422315401</v>
      </c>
      <c r="Y155" s="69">
        <f>AVERAGE(G155,J155,L155,R155)</f>
        <v>174.53749999999999</v>
      </c>
      <c r="Z155" s="69">
        <f>MEDIAN(G155,J155,L155,R155)</f>
        <v>159.07499999999999</v>
      </c>
      <c r="AA155" s="70">
        <f>_xlfn.STDEV.P(G155,J155,L155,R155)</f>
        <v>71.599697755996132</v>
      </c>
      <c r="AB155" s="71">
        <f t="shared" ref="AB155" si="279">AA155/Y155</f>
        <v>0.41022529689033094</v>
      </c>
      <c r="AC155" s="70" t="str">
        <f t="shared" ref="AC155" si="280">IF(AB155&lt;25%,"Média",IF(AB155&gt;=25%,"Mediana"))</f>
        <v>Mediana</v>
      </c>
      <c r="AD155" s="44">
        <f>Z155</f>
        <v>159.07499999999999</v>
      </c>
    </row>
    <row r="156" spans="2:30" ht="31.5" x14ac:dyDescent="0.25">
      <c r="B156" s="8" t="s">
        <v>487</v>
      </c>
      <c r="C156" s="8" t="s">
        <v>488</v>
      </c>
      <c r="D156" s="8" t="s">
        <v>70</v>
      </c>
      <c r="E156" s="18"/>
      <c r="F156" s="18"/>
      <c r="G156" s="18"/>
      <c r="H156" s="18"/>
      <c r="I156" s="18"/>
      <c r="J156" s="18"/>
      <c r="K156" s="18"/>
      <c r="L156" s="18"/>
      <c r="M156" s="18"/>
      <c r="N156" s="18"/>
      <c r="O156" s="20">
        <v>120</v>
      </c>
      <c r="P156" s="18"/>
      <c r="Q156" s="72">
        <v>30</v>
      </c>
      <c r="R156" s="18"/>
      <c r="S156" s="25">
        <v>120</v>
      </c>
      <c r="T156" s="30"/>
      <c r="U156" s="67">
        <f>AVERAGE(S156,O156,Q156)</f>
        <v>90</v>
      </c>
      <c r="V156" s="67">
        <f>_xlfn.STDEV.P(S156,O156,Q156)</f>
        <v>42.426406871192853</v>
      </c>
      <c r="W156" s="68">
        <f t="shared" ref="W156" si="281">U156-V156</f>
        <v>47.573593128807147</v>
      </c>
      <c r="X156" s="68">
        <f t="shared" ref="X156" si="282">U156+V156</f>
        <v>132.42640687119285</v>
      </c>
      <c r="Y156" s="69">
        <f>AVERAGE(O156,S156)</f>
        <v>120</v>
      </c>
      <c r="Z156" s="69">
        <f>MEDIAN(O156,S156)</f>
        <v>120</v>
      </c>
      <c r="AA156" s="70">
        <f>_xlfn.STDEV.P(O156,S156)</f>
        <v>0</v>
      </c>
      <c r="AB156" s="71">
        <f t="shared" ref="AB156" si="283">AA156/Y156</f>
        <v>0</v>
      </c>
      <c r="AC156" s="70" t="str">
        <f t="shared" ref="AC156" si="284">IF(AB156&lt;25%,"Média",IF(AB156&gt;=25%,"Mediana"))</f>
        <v>Média</v>
      </c>
      <c r="AD156" s="44">
        <f>Y156</f>
        <v>120</v>
      </c>
    </row>
    <row r="157" spans="2:30" ht="78.75" x14ac:dyDescent="0.25">
      <c r="B157" s="8" t="s">
        <v>296</v>
      </c>
      <c r="C157" s="8" t="s">
        <v>489</v>
      </c>
      <c r="D157" s="8" t="s">
        <v>490</v>
      </c>
      <c r="E157" s="18"/>
      <c r="F157" s="18"/>
      <c r="G157" s="18"/>
      <c r="H157" s="18"/>
      <c r="I157" s="18"/>
      <c r="J157" s="18"/>
      <c r="K157" s="72">
        <f>30*2+15</f>
        <v>75</v>
      </c>
      <c r="L157" s="19">
        <v>10</v>
      </c>
      <c r="M157" s="19">
        <v>30</v>
      </c>
      <c r="N157" s="19">
        <v>8</v>
      </c>
      <c r="O157" s="19">
        <v>21</v>
      </c>
      <c r="P157" s="18"/>
      <c r="Q157" s="20">
        <v>8</v>
      </c>
      <c r="R157" s="29"/>
      <c r="S157" s="29"/>
      <c r="T157" s="29"/>
      <c r="U157" s="67">
        <f>AVERAGE(K157:O157,Q157)</f>
        <v>25.333333333333332</v>
      </c>
      <c r="V157" s="67">
        <f>_xlfn.STDEV.P(K157:O157,Q157)</f>
        <v>23.605554901806951</v>
      </c>
      <c r="W157" s="68">
        <f t="shared" ref="W157" si="285">U157-V157</f>
        <v>1.7277784315263816</v>
      </c>
      <c r="X157" s="68">
        <f t="shared" ref="X157" si="286">U157+V157</f>
        <v>48.938888235140283</v>
      </c>
      <c r="Y157" s="69">
        <f>AVERAGE(L157:O157,Q157)</f>
        <v>15.4</v>
      </c>
      <c r="Z157" s="69">
        <f>MEDIAN(L157:O157,Q157)</f>
        <v>10</v>
      </c>
      <c r="AA157" s="70">
        <f>_xlfn.STDEV.P(L157:O157,Q157)</f>
        <v>8.7544274512957152</v>
      </c>
      <c r="AB157" s="71">
        <f t="shared" ref="AB157" si="287">AA157/Y157</f>
        <v>0.56846931501920228</v>
      </c>
      <c r="AC157" s="70" t="str">
        <f t="shared" ref="AC157" si="288">IF(AB157&lt;25%,"Média",IF(AB157&gt;=25%,"Mediana"))</f>
        <v>Mediana</v>
      </c>
      <c r="AD157" s="44">
        <f>Z157</f>
        <v>10</v>
      </c>
    </row>
    <row r="158" spans="2:30" ht="47.25" x14ac:dyDescent="0.25">
      <c r="B158" s="8" t="s">
        <v>296</v>
      </c>
      <c r="C158" s="8" t="s">
        <v>297</v>
      </c>
      <c r="D158" s="8" t="s">
        <v>7</v>
      </c>
      <c r="E158" s="18"/>
      <c r="F158" s="18"/>
      <c r="G158" s="18"/>
      <c r="H158" s="18"/>
      <c r="I158" s="18"/>
      <c r="J158" s="18"/>
      <c r="K158" s="18"/>
      <c r="L158" s="18"/>
      <c r="M158" s="18"/>
      <c r="N158" s="18"/>
      <c r="O158" s="18"/>
      <c r="P158" s="18"/>
      <c r="Q158" s="19">
        <v>8</v>
      </c>
      <c r="R158" s="29"/>
      <c r="S158" s="29"/>
      <c r="T158" s="29"/>
      <c r="U158" s="128" t="s">
        <v>796</v>
      </c>
      <c r="V158" s="129"/>
      <c r="W158" s="129"/>
      <c r="X158" s="129"/>
      <c r="Y158" s="129"/>
      <c r="Z158" s="129"/>
      <c r="AA158" s="129"/>
      <c r="AB158" s="129"/>
      <c r="AC158" s="130"/>
      <c r="AD158" s="44">
        <f>Q158</f>
        <v>8</v>
      </c>
    </row>
    <row r="159" spans="2:30" ht="126" x14ac:dyDescent="0.25">
      <c r="B159" s="8" t="s">
        <v>491</v>
      </c>
      <c r="C159" s="8" t="s">
        <v>492</v>
      </c>
      <c r="D159" s="8" t="s">
        <v>70</v>
      </c>
      <c r="E159" s="18"/>
      <c r="F159" s="18"/>
      <c r="G159" s="18"/>
      <c r="H159" s="18"/>
      <c r="I159" s="18"/>
      <c r="J159" s="18"/>
      <c r="K159" s="18"/>
      <c r="L159" s="72">
        <v>140</v>
      </c>
      <c r="M159" s="18"/>
      <c r="N159" s="19">
        <v>90</v>
      </c>
      <c r="O159" s="18"/>
      <c r="P159" s="18"/>
      <c r="Q159" s="72">
        <v>60</v>
      </c>
      <c r="R159" s="18"/>
      <c r="S159" s="29"/>
      <c r="T159" s="29"/>
      <c r="U159" s="67">
        <f>AVERAGE(L159,N159,Q159)</f>
        <v>96.666666666666671</v>
      </c>
      <c r="V159" s="67">
        <f>_xlfn.STDEV.P(L159,N159,Q159)</f>
        <v>32.998316455372219</v>
      </c>
      <c r="W159" s="68">
        <f t="shared" ref="W159" si="289">U159-V159</f>
        <v>63.668350211294452</v>
      </c>
      <c r="X159" s="68">
        <f t="shared" ref="X159" si="290">U159+V159</f>
        <v>129.6649831220389</v>
      </c>
      <c r="Y159" s="69">
        <f>AVERAGE(N159)</f>
        <v>90</v>
      </c>
      <c r="Z159" s="69">
        <f>MEDIAN(N159)</f>
        <v>90</v>
      </c>
      <c r="AA159" s="70">
        <f>_xlfn.STDEV.P(N159)</f>
        <v>0</v>
      </c>
      <c r="AB159" s="71">
        <f t="shared" ref="AB159" si="291">AA159/Y159</f>
        <v>0</v>
      </c>
      <c r="AC159" s="70" t="str">
        <f t="shared" ref="AC159" si="292">IF(AB159&lt;25%,"Média",IF(AB159&gt;=25%,"Mediana"))</f>
        <v>Média</v>
      </c>
      <c r="AD159" s="44">
        <f>Y159</f>
        <v>90</v>
      </c>
    </row>
    <row r="160" spans="2:30" ht="236.25" x14ac:dyDescent="0.25">
      <c r="B160" s="8" t="s">
        <v>493</v>
      </c>
      <c r="C160" s="8" t="s">
        <v>628</v>
      </c>
      <c r="D160" s="8" t="s">
        <v>70</v>
      </c>
      <c r="E160" s="18"/>
      <c r="F160" s="18"/>
      <c r="G160" s="19">
        <v>320</v>
      </c>
      <c r="H160" s="18"/>
      <c r="I160" s="16">
        <v>345</v>
      </c>
      <c r="J160" s="18"/>
      <c r="K160" s="18"/>
      <c r="L160" s="18"/>
      <c r="M160" s="18"/>
      <c r="N160" s="18"/>
      <c r="O160" s="18"/>
      <c r="P160" s="18"/>
      <c r="Q160" s="18"/>
      <c r="R160" s="18"/>
      <c r="S160" s="29"/>
      <c r="T160" s="29"/>
      <c r="U160" s="128" t="s">
        <v>819</v>
      </c>
      <c r="V160" s="129"/>
      <c r="W160" s="129"/>
      <c r="X160" s="129"/>
      <c r="Y160" s="129"/>
      <c r="Z160" s="129"/>
      <c r="AA160" s="129"/>
      <c r="AB160" s="129"/>
      <c r="AC160" s="130"/>
      <c r="AD160" s="44">
        <f>AVERAGE(G160,I160)</f>
        <v>332.5</v>
      </c>
    </row>
    <row r="161" spans="2:30" ht="173.25" x14ac:dyDescent="0.25">
      <c r="B161" s="8" t="s">
        <v>299</v>
      </c>
      <c r="C161" s="8" t="s">
        <v>300</v>
      </c>
      <c r="D161" s="8" t="s">
        <v>357</v>
      </c>
      <c r="E161" s="36">
        <v>150</v>
      </c>
      <c r="F161" s="72">
        <v>104.5</v>
      </c>
      <c r="G161" s="19">
        <v>60</v>
      </c>
      <c r="H161" s="72">
        <v>95</v>
      </c>
      <c r="I161" s="19">
        <v>90</v>
      </c>
      <c r="J161" s="18"/>
      <c r="K161" s="18"/>
      <c r="L161" s="18"/>
      <c r="M161" s="19">
        <v>40</v>
      </c>
      <c r="N161" s="22"/>
      <c r="O161" s="20">
        <v>40</v>
      </c>
      <c r="P161" s="74">
        <v>30</v>
      </c>
      <c r="Q161" s="18"/>
      <c r="R161" s="18"/>
      <c r="S161" s="29"/>
      <c r="T161" s="29"/>
      <c r="U161" s="67">
        <f>AVERAGE(F161:I161,M161,O161:P161)</f>
        <v>65.642857142857139</v>
      </c>
      <c r="V161" s="67">
        <f>_xlfn.STDEV.P(F161:I161,M161,O161:P161)</f>
        <v>28.239681156782467</v>
      </c>
      <c r="W161" s="68">
        <f t="shared" ref="W161" si="293">U161-V161</f>
        <v>37.403175986074672</v>
      </c>
      <c r="X161" s="68">
        <f t="shared" ref="X161" si="294">U161+V161</f>
        <v>93.882538299639606</v>
      </c>
      <c r="Y161" s="69">
        <f>AVERAGE(G161,I161,M161,O161)</f>
        <v>57.5</v>
      </c>
      <c r="Z161" s="69">
        <f>MEDIAN(G161,I161,M161,O161)</f>
        <v>50</v>
      </c>
      <c r="AA161" s="70">
        <f>_xlfn.STDEV.P(G161,I161,M161,O161)</f>
        <v>20.463381929681123</v>
      </c>
      <c r="AB161" s="71">
        <f t="shared" ref="AB161" si="295">AA161/Y161</f>
        <v>0.35588490312488907</v>
      </c>
      <c r="AC161" s="70" t="str">
        <f t="shared" ref="AC161" si="296">IF(AB161&lt;25%,"Média",IF(AB161&gt;=25%,"Mediana"))</f>
        <v>Mediana</v>
      </c>
      <c r="AD161" s="44">
        <f>Z161</f>
        <v>50</v>
      </c>
    </row>
    <row r="162" spans="2:30" ht="31.5" x14ac:dyDescent="0.25">
      <c r="B162" s="8" t="s">
        <v>303</v>
      </c>
      <c r="C162" s="8" t="s">
        <v>494</v>
      </c>
      <c r="D162" s="8" t="s">
        <v>70</v>
      </c>
      <c r="E162" s="18"/>
      <c r="F162" s="18"/>
      <c r="G162" s="18"/>
      <c r="H162" s="18"/>
      <c r="I162" s="18"/>
      <c r="J162" s="18"/>
      <c r="K162" s="16">
        <v>12</v>
      </c>
      <c r="L162" s="16">
        <v>30</v>
      </c>
      <c r="M162" s="18"/>
      <c r="N162" s="18"/>
      <c r="O162" s="22"/>
      <c r="P162" s="74">
        <v>50</v>
      </c>
      <c r="Q162" s="20">
        <v>10</v>
      </c>
      <c r="R162" s="18"/>
      <c r="S162" s="29"/>
      <c r="T162" s="29"/>
      <c r="U162" s="67">
        <f>AVERAGE(K162:L162,P162:Q162)</f>
        <v>25.5</v>
      </c>
      <c r="V162" s="67">
        <f>_xlfn.STDEV.P(K162:L162,P162:Q162)</f>
        <v>16.147755261955144</v>
      </c>
      <c r="W162" s="68">
        <f t="shared" ref="W162" si="297">U162-V162</f>
        <v>9.3522447380448561</v>
      </c>
      <c r="X162" s="68">
        <f t="shared" ref="X162" si="298">U162+V162</f>
        <v>41.64775526195514</v>
      </c>
      <c r="Y162" s="69">
        <f>AVERAGE(K162,L162,Q162)</f>
        <v>17.333333333333332</v>
      </c>
      <c r="Z162" s="69">
        <f>MEDIAN(K162,L162,Q162)</f>
        <v>12</v>
      </c>
      <c r="AA162" s="70">
        <f>_xlfn.STDEV.P(K162,L162,Q162)</f>
        <v>8.9938250421546933</v>
      </c>
      <c r="AB162" s="71">
        <f t="shared" ref="AB162" si="299">AA162/Y162</f>
        <v>0.51887452166277082</v>
      </c>
      <c r="AC162" s="70" t="str">
        <f t="shared" ref="AC162" si="300">IF(AB162&lt;25%,"Média",IF(AB162&gt;=25%,"Mediana"))</f>
        <v>Mediana</v>
      </c>
      <c r="AD162" s="44">
        <f>Z162</f>
        <v>12</v>
      </c>
    </row>
    <row r="163" spans="2:30" ht="31.5" x14ac:dyDescent="0.25">
      <c r="B163" s="8" t="s">
        <v>655</v>
      </c>
      <c r="C163" s="8" t="s">
        <v>304</v>
      </c>
      <c r="D163" s="8" t="s">
        <v>70</v>
      </c>
      <c r="E163" s="18"/>
      <c r="F163" s="18"/>
      <c r="G163" s="18"/>
      <c r="H163" s="18"/>
      <c r="I163" s="18"/>
      <c r="J163" s="18"/>
      <c r="K163" s="16">
        <v>12</v>
      </c>
      <c r="L163" s="72">
        <v>30</v>
      </c>
      <c r="M163" s="18"/>
      <c r="N163" s="18"/>
      <c r="O163" s="18"/>
      <c r="P163" s="25">
        <v>15.2</v>
      </c>
      <c r="Q163" s="19">
        <v>10</v>
      </c>
      <c r="R163" s="18"/>
      <c r="S163" s="29"/>
      <c r="T163" s="29"/>
      <c r="U163" s="67">
        <f>AVERAGE(K163:L163,P163:Q163)</f>
        <v>16.8</v>
      </c>
      <c r="V163" s="67">
        <f>_xlfn.STDEV.P(K163:L163,P163:Q163)</f>
        <v>7.8434686204510298</v>
      </c>
      <c r="W163" s="68">
        <f t="shared" ref="W163" si="301">U163-V163</f>
        <v>8.9565313795489701</v>
      </c>
      <c r="X163" s="68">
        <f t="shared" ref="X163" si="302">U163+V163</f>
        <v>24.643468620451031</v>
      </c>
      <c r="Y163" s="69">
        <f>AVERAGE(K163,P163:Q163)</f>
        <v>12.4</v>
      </c>
      <c r="Z163" s="69">
        <f>MEDIAN(K163,P163:Q163)</f>
        <v>12</v>
      </c>
      <c r="AA163" s="70">
        <f>_xlfn.STDEV.P(K163,P163:Q163)</f>
        <v>2.141650453894528</v>
      </c>
      <c r="AB163" s="71">
        <f t="shared" ref="AB163" si="303">AA163/Y163</f>
        <v>0.17271374628181677</v>
      </c>
      <c r="AC163" s="70" t="str">
        <f t="shared" ref="AC163" si="304">IF(AB163&lt;25%,"Média",IF(AB163&gt;=25%,"Mediana"))</f>
        <v>Média</v>
      </c>
      <c r="AD163" s="44">
        <f>Y163</f>
        <v>12.4</v>
      </c>
    </row>
    <row r="164" spans="2:30" ht="78.75" x14ac:dyDescent="0.25">
      <c r="B164" s="8" t="s">
        <v>720</v>
      </c>
      <c r="C164" s="8" t="s">
        <v>721</v>
      </c>
      <c r="D164" s="8" t="s">
        <v>70</v>
      </c>
      <c r="E164" s="29"/>
      <c r="F164" s="29"/>
      <c r="G164" s="29"/>
      <c r="H164" s="29"/>
      <c r="I164" s="29"/>
      <c r="J164" s="29"/>
      <c r="K164" s="29"/>
      <c r="L164" s="29"/>
      <c r="M164" s="29"/>
      <c r="N164" s="29"/>
      <c r="O164" s="29"/>
      <c r="P164" s="29"/>
      <c r="Q164" s="29"/>
      <c r="R164" s="29"/>
      <c r="S164" s="19">
        <v>151.5</v>
      </c>
      <c r="T164" s="29"/>
      <c r="U164" s="128" t="s">
        <v>796</v>
      </c>
      <c r="V164" s="129"/>
      <c r="W164" s="129"/>
      <c r="X164" s="129"/>
      <c r="Y164" s="129"/>
      <c r="Z164" s="129"/>
      <c r="AA164" s="129"/>
      <c r="AB164" s="129"/>
      <c r="AC164" s="130"/>
      <c r="AD164" s="44">
        <f>S164</f>
        <v>151.5</v>
      </c>
    </row>
    <row r="165" spans="2:30" ht="110.25" x14ac:dyDescent="0.25">
      <c r="B165" s="8" t="s">
        <v>495</v>
      </c>
      <c r="C165" s="8" t="s">
        <v>496</v>
      </c>
      <c r="D165" s="8" t="s">
        <v>70</v>
      </c>
      <c r="E165" s="18"/>
      <c r="F165" s="18"/>
      <c r="G165" s="18"/>
      <c r="H165" s="18"/>
      <c r="I165" s="18"/>
      <c r="J165" s="72">
        <v>60</v>
      </c>
      <c r="K165" s="16">
        <v>20</v>
      </c>
      <c r="L165" s="18"/>
      <c r="M165" s="18"/>
      <c r="N165" s="19">
        <v>30</v>
      </c>
      <c r="O165" s="22"/>
      <c r="P165" s="18"/>
      <c r="Q165" s="19">
        <v>30</v>
      </c>
      <c r="R165" s="18"/>
      <c r="S165" s="18"/>
      <c r="T165" s="18"/>
      <c r="U165" s="67">
        <f>AVERAGE(J165:K165,N165,Q165)</f>
        <v>35</v>
      </c>
      <c r="V165" s="67">
        <f>_xlfn.STDEV.P(J165:K165,N165,Q165)</f>
        <v>15</v>
      </c>
      <c r="W165" s="68">
        <f t="shared" ref="W165" si="305">U165-V165</f>
        <v>20</v>
      </c>
      <c r="X165" s="68">
        <f t="shared" ref="X165" si="306">U165+V165</f>
        <v>50</v>
      </c>
      <c r="Y165" s="69">
        <f>AVERAGE(K165,N165,Q165)</f>
        <v>26.666666666666668</v>
      </c>
      <c r="Z165" s="69">
        <f>MEDIAN(K165,N165,Q165)</f>
        <v>30</v>
      </c>
      <c r="AA165" s="70">
        <f>_xlfn.STDEV.P(K165,P165:Q165)</f>
        <v>5</v>
      </c>
      <c r="AB165" s="71">
        <f t="shared" ref="AB165" si="307">AA165/Y165</f>
        <v>0.1875</v>
      </c>
      <c r="AC165" s="70" t="str">
        <f t="shared" ref="AC165" si="308">IF(AB165&lt;25%,"Média",IF(AB165&gt;=25%,"Mediana"))</f>
        <v>Média</v>
      </c>
      <c r="AD165" s="44">
        <f>Y165</f>
        <v>26.666666666666668</v>
      </c>
    </row>
    <row r="166" spans="2:30" ht="110.25" x14ac:dyDescent="0.25">
      <c r="B166" s="8" t="s">
        <v>497</v>
      </c>
      <c r="C166" s="8" t="s">
        <v>498</v>
      </c>
      <c r="D166" s="8" t="s">
        <v>490</v>
      </c>
      <c r="E166" s="18"/>
      <c r="F166" s="18"/>
      <c r="G166" s="18"/>
      <c r="H166" s="18"/>
      <c r="I166" s="18"/>
      <c r="J166" s="18"/>
      <c r="K166" s="18"/>
      <c r="L166" s="16">
        <v>500</v>
      </c>
      <c r="M166" s="18"/>
      <c r="N166" s="19">
        <v>350</v>
      </c>
      <c r="O166" s="22"/>
      <c r="P166" s="18"/>
      <c r="Q166" s="18"/>
      <c r="R166" s="18"/>
      <c r="S166" s="18"/>
      <c r="T166" s="18"/>
      <c r="U166" s="128" t="s">
        <v>819</v>
      </c>
      <c r="V166" s="129"/>
      <c r="W166" s="129"/>
      <c r="X166" s="129"/>
      <c r="Y166" s="129"/>
      <c r="Z166" s="129"/>
      <c r="AA166" s="129"/>
      <c r="AB166" s="129"/>
      <c r="AC166" s="130"/>
      <c r="AD166" s="44">
        <f>AVERAGE(L166,N166)</f>
        <v>425</v>
      </c>
    </row>
    <row r="167" spans="2:30" ht="31.5" x14ac:dyDescent="0.25">
      <c r="B167" s="8" t="s">
        <v>377</v>
      </c>
      <c r="C167" s="8" t="s">
        <v>378</v>
      </c>
      <c r="D167" s="8" t="s">
        <v>70</v>
      </c>
      <c r="E167" s="18"/>
      <c r="F167" s="18"/>
      <c r="G167" s="36">
        <v>410</v>
      </c>
      <c r="H167" s="18"/>
      <c r="I167" s="16">
        <v>15</v>
      </c>
      <c r="J167" s="18"/>
      <c r="K167" s="18"/>
      <c r="L167" s="19">
        <v>20</v>
      </c>
      <c r="M167" s="18"/>
      <c r="N167" s="18"/>
      <c r="O167" s="22"/>
      <c r="P167" s="18"/>
      <c r="Q167" s="18"/>
      <c r="R167" s="18"/>
      <c r="S167" s="18"/>
      <c r="T167" s="18"/>
      <c r="U167" s="128" t="s">
        <v>822</v>
      </c>
      <c r="V167" s="129"/>
      <c r="W167" s="129"/>
      <c r="X167" s="129"/>
      <c r="Y167" s="129"/>
      <c r="Z167" s="129"/>
      <c r="AA167" s="129"/>
      <c r="AB167" s="129"/>
      <c r="AC167" s="130"/>
      <c r="AD167" s="44">
        <f>Y168</f>
        <v>21.740000000000002</v>
      </c>
    </row>
    <row r="168" spans="2:30" ht="31.5" x14ac:dyDescent="0.25">
      <c r="B168" s="8" t="s">
        <v>306</v>
      </c>
      <c r="C168" s="8" t="s">
        <v>307</v>
      </c>
      <c r="D168" s="8" t="s">
        <v>499</v>
      </c>
      <c r="E168" s="18"/>
      <c r="F168" s="18"/>
      <c r="G168" s="18"/>
      <c r="H168" s="18"/>
      <c r="I168" s="18"/>
      <c r="J168" s="18"/>
      <c r="K168" s="18"/>
      <c r="L168" s="36">
        <v>150</v>
      </c>
      <c r="M168" s="72">
        <v>30</v>
      </c>
      <c r="N168" s="19">
        <v>20</v>
      </c>
      <c r="O168" s="22"/>
      <c r="P168" s="25">
        <v>23.48</v>
      </c>
      <c r="Q168" s="72">
        <v>12.2</v>
      </c>
      <c r="R168" s="18"/>
      <c r="S168" s="18"/>
      <c r="T168" s="18"/>
      <c r="U168" s="67">
        <f>AVERAGE(M168:N168,P168:Q168)</f>
        <v>21.42</v>
      </c>
      <c r="V168" s="67">
        <f>_xlfn.STDEV.P(M168:N168,P168:Q168)</f>
        <v>6.4203738208923546</v>
      </c>
      <c r="W168" s="68">
        <f t="shared" ref="W168" si="309">U168-V168</f>
        <v>14.999626179107647</v>
      </c>
      <c r="X168" s="68">
        <f t="shared" ref="X168" si="310">U168+V168</f>
        <v>27.840373820892356</v>
      </c>
      <c r="Y168" s="69">
        <f>AVERAGE(N168,P168)</f>
        <v>21.740000000000002</v>
      </c>
      <c r="Z168" s="69">
        <f>MEDIAN(N168,P168)</f>
        <v>21.740000000000002</v>
      </c>
      <c r="AA168" s="70">
        <f>_xlfn.STDEV.P(N168,P168)</f>
        <v>1.7400000000000002</v>
      </c>
      <c r="AB168" s="71">
        <f t="shared" ref="AB168" si="311">AA168/Y168</f>
        <v>8.0036798528058881E-2</v>
      </c>
      <c r="AC168" s="70" t="str">
        <f t="shared" ref="AC168" si="312">IF(AB168&lt;25%,"Média",IF(AB168&gt;=25%,"Mediana"))</f>
        <v>Média</v>
      </c>
      <c r="AD168" s="44">
        <f>AVERAGE(M168:N168,P168:Q168)</f>
        <v>21.42</v>
      </c>
    </row>
    <row r="169" spans="2:30" ht="31.5" x14ac:dyDescent="0.25">
      <c r="B169" s="8" t="s">
        <v>500</v>
      </c>
      <c r="C169" s="8" t="s">
        <v>501</v>
      </c>
      <c r="D169" s="8" t="s">
        <v>12</v>
      </c>
      <c r="E169" s="18"/>
      <c r="F169" s="72">
        <v>110</v>
      </c>
      <c r="G169" s="19">
        <v>80</v>
      </c>
      <c r="H169" s="18"/>
      <c r="I169" s="16">
        <v>88</v>
      </c>
      <c r="J169" s="18"/>
      <c r="K169" s="18"/>
      <c r="L169" s="18"/>
      <c r="M169" s="18"/>
      <c r="N169" s="18"/>
      <c r="O169" s="22"/>
      <c r="P169" s="26"/>
      <c r="Q169" s="18"/>
      <c r="R169" s="18"/>
      <c r="S169" s="18"/>
      <c r="T169" s="18"/>
      <c r="U169" s="67">
        <f>AVERAGE(F169:G169,I169)</f>
        <v>92.666666666666671</v>
      </c>
      <c r="V169" s="67">
        <f>_xlfn.STDEV.P(F169:G169,I169)</f>
        <v>12.684198393626966</v>
      </c>
      <c r="W169" s="68">
        <f t="shared" ref="W169" si="313">U169-V169</f>
        <v>79.9824682730397</v>
      </c>
      <c r="X169" s="68">
        <f t="shared" ref="X169" si="314">U169+V169</f>
        <v>105.35086506029364</v>
      </c>
      <c r="Y169" s="69">
        <f>AVERAGE(G169,I169)</f>
        <v>84</v>
      </c>
      <c r="Z169" s="69">
        <f>MEDIAN(G169,I169)</f>
        <v>84</v>
      </c>
      <c r="AA169" s="70">
        <f>_xlfn.STDEV.P(G169,I169)</f>
        <v>4</v>
      </c>
      <c r="AB169" s="71">
        <f t="shared" ref="AB169" si="315">AA169/Y169</f>
        <v>4.7619047619047616E-2</v>
      </c>
      <c r="AC169" s="70" t="str">
        <f t="shared" ref="AC169" si="316">IF(AB169&lt;25%,"Média",IF(AB169&gt;=25%,"Mediana"))</f>
        <v>Média</v>
      </c>
      <c r="AD169" s="44">
        <f>Y169</f>
        <v>84</v>
      </c>
    </row>
    <row r="170" spans="2:30" ht="31.5" x14ac:dyDescent="0.25">
      <c r="B170" s="8" t="s">
        <v>502</v>
      </c>
      <c r="C170" s="8" t="s">
        <v>503</v>
      </c>
      <c r="D170" s="8" t="s">
        <v>70</v>
      </c>
      <c r="E170" s="18"/>
      <c r="F170" s="18"/>
      <c r="G170" s="18"/>
      <c r="H170" s="18"/>
      <c r="I170" s="18"/>
      <c r="J170" s="18"/>
      <c r="K170" s="18"/>
      <c r="L170" s="19">
        <v>10</v>
      </c>
      <c r="M170" s="18"/>
      <c r="N170" s="16">
        <v>2</v>
      </c>
      <c r="O170" s="18"/>
      <c r="P170" s="26"/>
      <c r="Q170" s="18"/>
      <c r="R170" s="18"/>
      <c r="S170" s="18"/>
      <c r="T170" s="18"/>
      <c r="U170" s="128" t="s">
        <v>819</v>
      </c>
      <c r="V170" s="129"/>
      <c r="W170" s="129"/>
      <c r="X170" s="129"/>
      <c r="Y170" s="129"/>
      <c r="Z170" s="129"/>
      <c r="AA170" s="129"/>
      <c r="AB170" s="129"/>
      <c r="AC170" s="130"/>
      <c r="AD170" s="44">
        <f>AVERAGE(L170,N170)</f>
        <v>6</v>
      </c>
    </row>
    <row r="171" spans="2:30" ht="31.5" x14ac:dyDescent="0.25">
      <c r="B171" s="8" t="s">
        <v>313</v>
      </c>
      <c r="C171" s="8" t="s">
        <v>314</v>
      </c>
      <c r="D171" s="8" t="s">
        <v>70</v>
      </c>
      <c r="E171" s="18"/>
      <c r="F171" s="18"/>
      <c r="G171" s="18"/>
      <c r="H171" s="18"/>
      <c r="I171" s="18"/>
      <c r="J171" s="18"/>
      <c r="K171" s="18"/>
      <c r="L171" s="19">
        <v>10</v>
      </c>
      <c r="M171" s="16">
        <v>10</v>
      </c>
      <c r="N171" s="19">
        <v>9</v>
      </c>
      <c r="O171" s="20">
        <v>9</v>
      </c>
      <c r="P171" s="20">
        <v>5</v>
      </c>
      <c r="Q171" s="72">
        <v>4</v>
      </c>
      <c r="R171" s="18"/>
      <c r="S171" s="18"/>
      <c r="T171" s="18"/>
      <c r="U171" s="67">
        <f>AVERAGE(L171:Q171)</f>
        <v>7.833333333333333</v>
      </c>
      <c r="V171" s="67">
        <f>_xlfn.STDEV.P(L171:Q171)</f>
        <v>2.4094720491334933</v>
      </c>
      <c r="W171" s="68">
        <f t="shared" ref="W171" si="317">U171-V171</f>
        <v>5.4238612841998393</v>
      </c>
      <c r="X171" s="68">
        <f t="shared" ref="X171" si="318">U171+V171</f>
        <v>10.242805382466827</v>
      </c>
      <c r="Y171" s="69">
        <f>AVERAGE(L171:P171)</f>
        <v>8.6</v>
      </c>
      <c r="Z171" s="69">
        <f>MEDIAN(L171:P171)</f>
        <v>9</v>
      </c>
      <c r="AA171" s="70">
        <f>_xlfn.STDEV.P(L171:P171)</f>
        <v>1.8547236990991407</v>
      </c>
      <c r="AB171" s="71">
        <f t="shared" ref="AB171" si="319">AA171/Y171</f>
        <v>0.21566554640687682</v>
      </c>
      <c r="AC171" s="70" t="str">
        <f t="shared" ref="AC171" si="320">IF(AB171&lt;25%,"Média",IF(AB171&gt;=25%,"Mediana"))</f>
        <v>Média</v>
      </c>
      <c r="AD171" s="44">
        <f>Y171</f>
        <v>8.6</v>
      </c>
    </row>
    <row r="172" spans="2:30" ht="31.5" x14ac:dyDescent="0.25">
      <c r="B172" s="8" t="s">
        <v>310</v>
      </c>
      <c r="C172" s="8" t="s">
        <v>311</v>
      </c>
      <c r="D172" s="8" t="s">
        <v>70</v>
      </c>
      <c r="E172" s="18"/>
      <c r="F172" s="18"/>
      <c r="G172" s="18"/>
      <c r="H172" s="18"/>
      <c r="I172" s="18"/>
      <c r="J172" s="18"/>
      <c r="K172" s="18"/>
      <c r="L172" s="19">
        <v>10</v>
      </c>
      <c r="M172" s="16">
        <v>10</v>
      </c>
      <c r="N172" s="19">
        <v>9</v>
      </c>
      <c r="O172" s="20">
        <v>9</v>
      </c>
      <c r="P172" s="20">
        <v>5</v>
      </c>
      <c r="Q172" s="72">
        <v>3.2</v>
      </c>
      <c r="R172" s="18"/>
      <c r="S172" s="18"/>
      <c r="T172" s="18"/>
      <c r="U172" s="67">
        <f>AVERAGE(L172:Q172)</f>
        <v>7.7</v>
      </c>
      <c r="V172" s="67">
        <f>_xlfn.STDEV.P(L172:Q172)</f>
        <v>2.6299556396765835</v>
      </c>
      <c r="W172" s="68">
        <f t="shared" ref="W172" si="321">U172-V172</f>
        <v>5.0700443603234167</v>
      </c>
      <c r="X172" s="68">
        <f t="shared" ref="X172" si="322">U172+V172</f>
        <v>10.329955639676584</v>
      </c>
      <c r="Y172" s="69">
        <f>AVERAGE(L172:P172)</f>
        <v>8.6</v>
      </c>
      <c r="Z172" s="69">
        <f>MEDIAN(L172:P172)</f>
        <v>9</v>
      </c>
      <c r="AA172" s="70">
        <f>_xlfn.STDEV.P(L172:P172)</f>
        <v>1.8547236990991407</v>
      </c>
      <c r="AB172" s="71">
        <f t="shared" ref="AB172" si="323">AA172/Y172</f>
        <v>0.21566554640687682</v>
      </c>
      <c r="AC172" s="70" t="str">
        <f t="shared" ref="AC172" si="324">IF(AB172&lt;25%,"Média",IF(AB172&gt;=25%,"Mediana"))</f>
        <v>Média</v>
      </c>
      <c r="AD172" s="44">
        <f>Y172</f>
        <v>8.6</v>
      </c>
    </row>
    <row r="173" spans="2:30" ht="31.5" x14ac:dyDescent="0.25">
      <c r="B173" s="8" t="s">
        <v>316</v>
      </c>
      <c r="C173" s="8" t="s">
        <v>317</v>
      </c>
      <c r="D173" s="8" t="s">
        <v>70</v>
      </c>
      <c r="E173" s="18"/>
      <c r="F173" s="18"/>
      <c r="G173" s="18"/>
      <c r="H173" s="18"/>
      <c r="I173" s="18"/>
      <c r="J173" s="18"/>
      <c r="K173" s="18"/>
      <c r="L173" s="18"/>
      <c r="M173" s="18"/>
      <c r="N173" s="18"/>
      <c r="O173" s="18"/>
      <c r="P173" s="20">
        <v>5</v>
      </c>
      <c r="Q173" s="72">
        <v>4</v>
      </c>
      <c r="R173" s="74">
        <v>6.85</v>
      </c>
      <c r="S173" s="18"/>
      <c r="T173" s="18"/>
      <c r="U173" s="67">
        <f>AVERAGE(P173:R173)</f>
        <v>5.2833333333333332</v>
      </c>
      <c r="V173" s="67">
        <f>_xlfn.STDEV.P(P173:R173)</f>
        <v>1.1806307165616525</v>
      </c>
      <c r="W173" s="68">
        <f t="shared" ref="W173" si="325">U173-V173</f>
        <v>4.1027026167716807</v>
      </c>
      <c r="X173" s="68">
        <f t="shared" ref="X173" si="326">U173+V173</f>
        <v>6.4639640498949857</v>
      </c>
      <c r="Y173" s="69">
        <f>AVERAGE(P173)</f>
        <v>5</v>
      </c>
      <c r="Z173" s="69">
        <f>MEDIAN(P173)</f>
        <v>5</v>
      </c>
      <c r="AA173" s="70">
        <f>_xlfn.STDEV.P(P173)</f>
        <v>0</v>
      </c>
      <c r="AB173" s="71">
        <f t="shared" ref="AB173" si="327">AA173/Y173</f>
        <v>0</v>
      </c>
      <c r="AC173" s="70" t="str">
        <f t="shared" ref="AC173" si="328">IF(AB173&lt;25%,"Média",IF(AB173&gt;=25%,"Mediana"))</f>
        <v>Média</v>
      </c>
      <c r="AD173" s="44">
        <f>Y173</f>
        <v>5</v>
      </c>
    </row>
    <row r="174" spans="2:30" ht="47.25" x14ac:dyDescent="0.25">
      <c r="B174" s="8" t="s">
        <v>723</v>
      </c>
      <c r="C174" s="8" t="s">
        <v>724</v>
      </c>
      <c r="D174" s="8" t="s">
        <v>70</v>
      </c>
      <c r="E174" s="18"/>
      <c r="F174" s="18"/>
      <c r="G174" s="18"/>
      <c r="H174" s="18"/>
      <c r="I174" s="18"/>
      <c r="J174" s="18"/>
      <c r="K174" s="18"/>
      <c r="L174" s="18"/>
      <c r="M174" s="18"/>
      <c r="N174" s="18"/>
      <c r="O174" s="18"/>
      <c r="P174" s="18"/>
      <c r="Q174" s="20">
        <v>15.2</v>
      </c>
      <c r="R174" s="18"/>
      <c r="S174" s="18"/>
      <c r="T174" s="18"/>
      <c r="U174" s="128" t="s">
        <v>796</v>
      </c>
      <c r="V174" s="129"/>
      <c r="W174" s="129"/>
      <c r="X174" s="129"/>
      <c r="Y174" s="129"/>
      <c r="Z174" s="129"/>
      <c r="AA174" s="129"/>
      <c r="AB174" s="129"/>
      <c r="AC174" s="130"/>
      <c r="AD174" s="44">
        <f>Q174</f>
        <v>15.2</v>
      </c>
    </row>
    <row r="175" spans="2:30" ht="94.5" x14ac:dyDescent="0.25">
      <c r="B175" s="8" t="s">
        <v>504</v>
      </c>
      <c r="C175" s="8" t="s">
        <v>505</v>
      </c>
      <c r="D175" s="8" t="s">
        <v>70</v>
      </c>
      <c r="E175" s="18"/>
      <c r="F175" s="18"/>
      <c r="G175" s="18"/>
      <c r="H175" s="18"/>
      <c r="I175" s="18"/>
      <c r="J175" s="18"/>
      <c r="K175" s="18"/>
      <c r="L175" s="19">
        <v>50</v>
      </c>
      <c r="M175" s="18"/>
      <c r="N175" s="18"/>
      <c r="O175" s="20">
        <v>50</v>
      </c>
      <c r="P175" s="20">
        <v>50</v>
      </c>
      <c r="Q175" s="72">
        <v>90</v>
      </c>
      <c r="R175" s="18"/>
      <c r="S175" s="18"/>
      <c r="T175" s="18"/>
      <c r="U175" s="67">
        <f>AVERAGE(L175,O175:Q175)</f>
        <v>60</v>
      </c>
      <c r="V175" s="67">
        <f>_xlfn.STDEV.P(L175,O175:Q175)</f>
        <v>17.320508075688775</v>
      </c>
      <c r="W175" s="68">
        <f t="shared" ref="W175" si="329">U175-V175</f>
        <v>42.679491924311222</v>
      </c>
      <c r="X175" s="68">
        <f t="shared" ref="X175" si="330">U175+V175</f>
        <v>77.320508075688778</v>
      </c>
      <c r="Y175" s="69">
        <f>AVERAGE(L175,O175:P175)</f>
        <v>50</v>
      </c>
      <c r="Z175" s="69">
        <f>MEDIAN(L175,O175:P175)</f>
        <v>50</v>
      </c>
      <c r="AA175" s="70">
        <f>_xlfn.STDEV.P(L175,O175:P175)</f>
        <v>0</v>
      </c>
      <c r="AB175" s="71">
        <f t="shared" ref="AB175" si="331">AA175/Y175</f>
        <v>0</v>
      </c>
      <c r="AC175" s="70" t="str">
        <f t="shared" ref="AC175" si="332">IF(AB175&lt;25%,"Média",IF(AB175&gt;=25%,"Mediana"))</f>
        <v>Média</v>
      </c>
      <c r="AD175" s="44">
        <f>Y175</f>
        <v>50</v>
      </c>
    </row>
    <row r="176" spans="2:30" ht="110.25" x14ac:dyDescent="0.25">
      <c r="B176" s="8" t="s">
        <v>506</v>
      </c>
      <c r="C176" s="8" t="s">
        <v>507</v>
      </c>
      <c r="D176" s="8" t="s">
        <v>116</v>
      </c>
      <c r="E176" s="18"/>
      <c r="F176" s="18"/>
      <c r="G176" s="18"/>
      <c r="H176" s="18"/>
      <c r="I176" s="18"/>
      <c r="J176" s="19">
        <v>1200</v>
      </c>
      <c r="K176" s="18"/>
      <c r="L176" s="18"/>
      <c r="M176" s="18"/>
      <c r="N176" s="18"/>
      <c r="O176" s="22"/>
      <c r="P176" s="18"/>
      <c r="Q176" s="18"/>
      <c r="R176" s="18"/>
      <c r="S176" s="18"/>
      <c r="T176" s="18"/>
      <c r="U176" s="128" t="s">
        <v>796</v>
      </c>
      <c r="V176" s="129"/>
      <c r="W176" s="129"/>
      <c r="X176" s="129"/>
      <c r="Y176" s="129"/>
      <c r="Z176" s="129"/>
      <c r="AA176" s="129"/>
      <c r="AB176" s="129"/>
      <c r="AC176" s="130"/>
      <c r="AD176" s="44">
        <f>J176</f>
        <v>1200</v>
      </c>
    </row>
    <row r="177" spans="2:30" ht="63" x14ac:dyDescent="0.25">
      <c r="B177" s="8" t="s">
        <v>508</v>
      </c>
      <c r="C177" s="8" t="s">
        <v>509</v>
      </c>
      <c r="D177" s="8" t="s">
        <v>510</v>
      </c>
      <c r="E177" s="18"/>
      <c r="F177" s="18"/>
      <c r="G177" s="18"/>
      <c r="H177" s="18"/>
      <c r="I177" s="18"/>
      <c r="J177" s="18"/>
      <c r="K177" s="18"/>
      <c r="L177" s="18"/>
      <c r="M177" s="18"/>
      <c r="N177" s="18"/>
      <c r="O177" s="18"/>
      <c r="P177" s="18"/>
      <c r="Q177" s="19">
        <v>12</v>
      </c>
      <c r="R177" s="18"/>
      <c r="S177" s="18"/>
      <c r="T177" s="18"/>
      <c r="U177" s="128" t="s">
        <v>796</v>
      </c>
      <c r="V177" s="129"/>
      <c r="W177" s="129"/>
      <c r="X177" s="129"/>
      <c r="Y177" s="129"/>
      <c r="Z177" s="129"/>
      <c r="AA177" s="129"/>
      <c r="AB177" s="129"/>
      <c r="AC177" s="130"/>
      <c r="AD177" s="44">
        <f>Q177</f>
        <v>12</v>
      </c>
    </row>
    <row r="178" spans="2:30" ht="220.5" x14ac:dyDescent="0.25">
      <c r="B178" s="8" t="s">
        <v>511</v>
      </c>
      <c r="C178" s="8" t="s">
        <v>512</v>
      </c>
      <c r="D178" s="8" t="s">
        <v>70</v>
      </c>
      <c r="E178" s="18"/>
      <c r="F178" s="18"/>
      <c r="G178" s="36">
        <v>390</v>
      </c>
      <c r="H178" s="18"/>
      <c r="I178" s="18"/>
      <c r="J178" s="18"/>
      <c r="K178" s="18"/>
      <c r="L178" s="18"/>
      <c r="M178" s="18"/>
      <c r="N178" s="18"/>
      <c r="O178" s="22"/>
      <c r="P178" s="18"/>
      <c r="Q178" s="19">
        <v>112</v>
      </c>
      <c r="R178" s="18"/>
      <c r="S178" s="18"/>
      <c r="T178" s="18"/>
      <c r="U178" s="128" t="s">
        <v>823</v>
      </c>
      <c r="V178" s="129"/>
      <c r="W178" s="129"/>
      <c r="X178" s="129"/>
      <c r="Y178" s="129"/>
      <c r="Z178" s="129"/>
      <c r="AA178" s="129"/>
      <c r="AB178" s="129"/>
      <c r="AC178" s="130"/>
      <c r="AD178" s="44">
        <f>Q178</f>
        <v>112</v>
      </c>
    </row>
    <row r="179" spans="2:30" ht="47.25" x14ac:dyDescent="0.25">
      <c r="B179" s="8" t="s">
        <v>514</v>
      </c>
      <c r="C179" s="8" t="s">
        <v>515</v>
      </c>
      <c r="D179" s="8" t="s">
        <v>357</v>
      </c>
      <c r="E179" s="18"/>
      <c r="F179" s="18"/>
      <c r="G179" s="36">
        <v>600</v>
      </c>
      <c r="H179" s="19">
        <v>300</v>
      </c>
      <c r="I179" s="22"/>
      <c r="J179" s="18"/>
      <c r="K179" s="18"/>
      <c r="L179" s="18"/>
      <c r="M179" s="18"/>
      <c r="N179" s="18"/>
      <c r="O179" s="22"/>
      <c r="P179" s="18"/>
      <c r="Q179" s="18"/>
      <c r="R179" s="18"/>
      <c r="S179" s="18"/>
      <c r="T179" s="18"/>
      <c r="U179" s="128" t="s">
        <v>821</v>
      </c>
      <c r="V179" s="129"/>
      <c r="W179" s="129"/>
      <c r="X179" s="129"/>
      <c r="Y179" s="129"/>
      <c r="Z179" s="129"/>
      <c r="AA179" s="129"/>
      <c r="AB179" s="129"/>
      <c r="AC179" s="130"/>
      <c r="AD179" s="44">
        <f>H179</f>
        <v>300</v>
      </c>
    </row>
    <row r="180" spans="2:30" ht="299.25" x14ac:dyDescent="0.25">
      <c r="B180" s="8" t="s">
        <v>319</v>
      </c>
      <c r="C180" s="8" t="s">
        <v>320</v>
      </c>
      <c r="D180" s="8" t="s">
        <v>224</v>
      </c>
      <c r="E180" s="18"/>
      <c r="F180" s="36">
        <v>330</v>
      </c>
      <c r="G180" s="36">
        <v>330</v>
      </c>
      <c r="H180" s="18"/>
      <c r="I180" s="18"/>
      <c r="J180" s="18"/>
      <c r="K180" s="18"/>
      <c r="L180" s="72">
        <v>150</v>
      </c>
      <c r="M180" s="19">
        <v>80</v>
      </c>
      <c r="N180" s="19">
        <v>70</v>
      </c>
      <c r="O180" s="22"/>
      <c r="P180" s="25">
        <v>46.72</v>
      </c>
      <c r="Q180" s="19">
        <v>37</v>
      </c>
      <c r="R180" s="18"/>
      <c r="S180" s="18"/>
      <c r="T180" s="18"/>
      <c r="U180" s="67">
        <f>AVERAGE(L180:N180,P180:Q180)</f>
        <v>76.744</v>
      </c>
      <c r="V180" s="67">
        <f>_xlfn.STDEV.P(L180:N180,P180:Q180)</f>
        <v>39.758145630801231</v>
      </c>
      <c r="W180" s="68">
        <f t="shared" ref="W180" si="333">U180-V180</f>
        <v>36.985854369198769</v>
      </c>
      <c r="X180" s="68">
        <f t="shared" ref="X180" si="334">U180+V180</f>
        <v>116.50214563080124</v>
      </c>
      <c r="Y180" s="69">
        <f>AVERAGE(M180:N180,P180:Q180)</f>
        <v>58.43</v>
      </c>
      <c r="Z180" s="69">
        <f>MEDIAN(M180:N180,P180:Q180)</f>
        <v>58.36</v>
      </c>
      <c r="AA180" s="70">
        <f>_xlfn.STDEV.P(M180:N180,P180:Q180)</f>
        <v>17.287992943080461</v>
      </c>
      <c r="AB180" s="71">
        <f t="shared" ref="AB180" si="335">AA180/Y180</f>
        <v>0.2958752856936584</v>
      </c>
      <c r="AC180" s="70" t="str">
        <f t="shared" ref="AC180" si="336">IF(AB180&lt;25%,"Média",IF(AB180&gt;=25%,"Mediana"))</f>
        <v>Mediana</v>
      </c>
      <c r="AD180" s="44">
        <f>Z180</f>
        <v>58.36</v>
      </c>
    </row>
    <row r="181" spans="2:30" ht="157.5" x14ac:dyDescent="0.25">
      <c r="B181" s="8" t="s">
        <v>656</v>
      </c>
      <c r="C181" s="8" t="s">
        <v>657</v>
      </c>
      <c r="D181" s="8" t="s">
        <v>224</v>
      </c>
      <c r="E181" s="18"/>
      <c r="F181" s="36">
        <v>330</v>
      </c>
      <c r="G181" s="36">
        <v>330</v>
      </c>
      <c r="H181" s="18"/>
      <c r="I181" s="18"/>
      <c r="J181" s="18"/>
      <c r="K181" s="18"/>
      <c r="L181" s="72">
        <v>150</v>
      </c>
      <c r="M181" s="19">
        <v>80</v>
      </c>
      <c r="N181" s="19">
        <v>70</v>
      </c>
      <c r="O181" s="22"/>
      <c r="P181" s="25">
        <v>46.72</v>
      </c>
      <c r="Q181" s="19">
        <v>37</v>
      </c>
      <c r="R181" s="18"/>
      <c r="S181" s="18"/>
      <c r="T181" s="18"/>
      <c r="U181" s="67">
        <f>AVERAGE(L181:N181,P181:Q181)</f>
        <v>76.744</v>
      </c>
      <c r="V181" s="67">
        <f>_xlfn.STDEV.P(L181:N181,P181:Q181)</f>
        <v>39.758145630801231</v>
      </c>
      <c r="W181" s="68">
        <f t="shared" ref="W181" si="337">U181-V181</f>
        <v>36.985854369198769</v>
      </c>
      <c r="X181" s="68">
        <f t="shared" ref="X181" si="338">U181+V181</f>
        <v>116.50214563080124</v>
      </c>
      <c r="Y181" s="69">
        <f>AVERAGE(M181:N181,P181:Q181)</f>
        <v>58.43</v>
      </c>
      <c r="Z181" s="69">
        <f>MEDIAN(M181:N181,P181:Q181)</f>
        <v>58.36</v>
      </c>
      <c r="AA181" s="70">
        <f>_xlfn.STDEV.P(M181:N181,P181:Q181)</f>
        <v>17.287992943080461</v>
      </c>
      <c r="AB181" s="71">
        <f t="shared" ref="AB181" si="339">AA181/Y181</f>
        <v>0.2958752856936584</v>
      </c>
      <c r="AC181" s="70" t="str">
        <f t="shared" ref="AC181" si="340">IF(AB181&lt;25%,"Média",IF(AB181&gt;=25%,"Mediana"))</f>
        <v>Mediana</v>
      </c>
      <c r="AD181" s="44">
        <f>Z181</f>
        <v>58.36</v>
      </c>
    </row>
    <row r="182" spans="2:30" ht="299.25" x14ac:dyDescent="0.25">
      <c r="B182" s="8" t="s">
        <v>658</v>
      </c>
      <c r="C182" s="8" t="s">
        <v>659</v>
      </c>
      <c r="D182" s="8" t="s">
        <v>224</v>
      </c>
      <c r="E182" s="18"/>
      <c r="F182" s="18"/>
      <c r="G182" s="18"/>
      <c r="H182" s="18"/>
      <c r="I182" s="18"/>
      <c r="J182" s="18"/>
      <c r="K182" s="18"/>
      <c r="L182" s="72">
        <v>270</v>
      </c>
      <c r="M182" s="18"/>
      <c r="N182" s="18"/>
      <c r="O182" s="18"/>
      <c r="P182" s="19">
        <v>80</v>
      </c>
      <c r="Q182" s="19">
        <v>58</v>
      </c>
      <c r="R182" s="19">
        <v>125</v>
      </c>
      <c r="S182" s="18"/>
      <c r="T182" s="18"/>
      <c r="U182" s="67">
        <f>AVERAGE(L182,P182:R182)</f>
        <v>133.25</v>
      </c>
      <c r="V182" s="67">
        <f>_xlfn.STDEV.P(L182,P182:R182)</f>
        <v>82.563233342693167</v>
      </c>
      <c r="W182" s="68">
        <f t="shared" ref="W182" si="341">U182-V182</f>
        <v>50.686766657306833</v>
      </c>
      <c r="X182" s="68">
        <f t="shared" ref="X182" si="342">U182+V182</f>
        <v>215.81323334269317</v>
      </c>
      <c r="Y182" s="69">
        <f>AVERAGE(P182:R182)</f>
        <v>87.666666666666671</v>
      </c>
      <c r="Z182" s="69">
        <f>MEDIAN(P182:R182)</f>
        <v>80</v>
      </c>
      <c r="AA182" s="70">
        <f>_xlfn.STDEV.P(P182:R182)</f>
        <v>27.884683171152503</v>
      </c>
      <c r="AB182" s="71">
        <f t="shared" ref="AB182" si="343">AA182/Y182</f>
        <v>0.31807623389147338</v>
      </c>
      <c r="AC182" s="70" t="str">
        <f t="shared" ref="AC182" si="344">IF(AB182&lt;25%,"Média",IF(AB182&gt;=25%,"Mediana"))</f>
        <v>Mediana</v>
      </c>
      <c r="AD182" s="44">
        <f>Z182</f>
        <v>80</v>
      </c>
    </row>
    <row r="183" spans="2:30" ht="31.5" x14ac:dyDescent="0.25">
      <c r="B183" s="8" t="s">
        <v>518</v>
      </c>
      <c r="C183" s="8" t="s">
        <v>519</v>
      </c>
      <c r="D183" s="8" t="s">
        <v>357</v>
      </c>
      <c r="E183" s="18"/>
      <c r="F183" s="18"/>
      <c r="G183" s="19">
        <v>120</v>
      </c>
      <c r="H183" s="18"/>
      <c r="I183" s="36">
        <v>165</v>
      </c>
      <c r="J183" s="18"/>
      <c r="K183" s="18"/>
      <c r="L183" s="18"/>
      <c r="M183" s="18"/>
      <c r="N183" s="18"/>
      <c r="O183" s="18"/>
      <c r="P183" s="18"/>
      <c r="Q183" s="18"/>
      <c r="R183" s="18"/>
      <c r="S183" s="18"/>
      <c r="T183" s="18"/>
      <c r="U183" s="128" t="s">
        <v>821</v>
      </c>
      <c r="V183" s="129"/>
      <c r="W183" s="129"/>
      <c r="X183" s="129"/>
      <c r="Y183" s="129"/>
      <c r="Z183" s="129"/>
      <c r="AA183" s="129"/>
      <c r="AB183" s="129"/>
      <c r="AC183" s="130"/>
      <c r="AD183" s="44">
        <f>G183</f>
        <v>120</v>
      </c>
    </row>
    <row r="184" spans="2:30" ht="31.5" x14ac:dyDescent="0.25">
      <c r="B184" s="8" t="s">
        <v>521</v>
      </c>
      <c r="C184" s="8" t="s">
        <v>522</v>
      </c>
      <c r="D184" s="8" t="s">
        <v>12</v>
      </c>
      <c r="E184" s="18"/>
      <c r="F184" s="18"/>
      <c r="G184" s="19">
        <v>90</v>
      </c>
      <c r="H184" s="18"/>
      <c r="I184" s="36">
        <v>188</v>
      </c>
      <c r="J184" s="18"/>
      <c r="K184" s="18"/>
      <c r="L184" s="18"/>
      <c r="M184" s="18"/>
      <c r="N184" s="18"/>
      <c r="O184" s="18"/>
      <c r="P184" s="18"/>
      <c r="Q184" s="18"/>
      <c r="R184" s="18"/>
      <c r="S184" s="18"/>
      <c r="T184" s="18"/>
      <c r="U184" s="128" t="s">
        <v>821</v>
      </c>
      <c r="V184" s="129"/>
      <c r="W184" s="129"/>
      <c r="X184" s="129"/>
      <c r="Y184" s="129"/>
      <c r="Z184" s="129"/>
      <c r="AA184" s="129"/>
      <c r="AB184" s="129"/>
      <c r="AC184" s="130"/>
      <c r="AD184" s="44">
        <f>G184</f>
        <v>90</v>
      </c>
    </row>
    <row r="185" spans="2:30" ht="15.75" x14ac:dyDescent="0.25">
      <c r="B185" s="8" t="s">
        <v>524</v>
      </c>
      <c r="C185" s="8" t="s">
        <v>525</v>
      </c>
      <c r="D185" s="8" t="s">
        <v>357</v>
      </c>
      <c r="E185" s="18"/>
      <c r="F185" s="18"/>
      <c r="G185" s="18"/>
      <c r="H185" s="18"/>
      <c r="I185" s="18"/>
      <c r="J185" s="18"/>
      <c r="K185" s="18"/>
      <c r="L185" s="19">
        <v>30</v>
      </c>
      <c r="M185" s="18"/>
      <c r="N185" s="18"/>
      <c r="O185" s="18"/>
      <c r="P185" s="18"/>
      <c r="Q185" s="18"/>
      <c r="R185" s="18"/>
      <c r="S185" s="19">
        <v>11</v>
      </c>
      <c r="T185" s="18"/>
      <c r="U185" s="128" t="s">
        <v>819</v>
      </c>
      <c r="V185" s="129"/>
      <c r="W185" s="129"/>
      <c r="X185" s="129"/>
      <c r="Y185" s="129"/>
      <c r="Z185" s="129"/>
      <c r="AA185" s="129"/>
      <c r="AB185" s="129"/>
      <c r="AC185" s="130"/>
      <c r="AD185" s="43">
        <f>AVERAGE(L185,S185)</f>
        <v>20.5</v>
      </c>
    </row>
    <row r="186" spans="2:30" ht="63" x14ac:dyDescent="0.25">
      <c r="B186" s="8" t="s">
        <v>325</v>
      </c>
      <c r="C186" s="8" t="s">
        <v>326</v>
      </c>
      <c r="D186" s="8" t="s">
        <v>70</v>
      </c>
      <c r="E186" s="18"/>
      <c r="F186" s="18"/>
      <c r="G186" s="18"/>
      <c r="H186" s="18"/>
      <c r="I186" s="18"/>
      <c r="J186" s="18"/>
      <c r="K186" s="18"/>
      <c r="L186" s="19">
        <v>15</v>
      </c>
      <c r="M186" s="18"/>
      <c r="N186" s="72">
        <v>3</v>
      </c>
      <c r="O186" s="72">
        <v>20</v>
      </c>
      <c r="P186" s="25">
        <v>10</v>
      </c>
      <c r="Q186" s="18"/>
      <c r="R186" s="18"/>
      <c r="S186" s="18"/>
      <c r="T186" s="18"/>
      <c r="U186" s="67">
        <f>AVERAGE(L186,N186:P186)</f>
        <v>12</v>
      </c>
      <c r="V186" s="67">
        <f>_xlfn.STDEV.P(L186,N186:P186)</f>
        <v>6.2849025449882676</v>
      </c>
      <c r="W186" s="68">
        <f t="shared" ref="W186" si="345">U186-V186</f>
        <v>5.7150974550117324</v>
      </c>
      <c r="X186" s="68">
        <f t="shared" ref="X186" si="346">U186+V186</f>
        <v>18.284902544988267</v>
      </c>
      <c r="Y186" s="69">
        <f>AVERAGE(L186,P186)</f>
        <v>12.5</v>
      </c>
      <c r="Z186" s="69">
        <f>MEDIAN(L186,P186)</f>
        <v>12.5</v>
      </c>
      <c r="AA186" s="70">
        <f>_xlfn.STDEV.P(L186,P186)</f>
        <v>2.5</v>
      </c>
      <c r="AB186" s="71">
        <f t="shared" ref="AB186" si="347">AA186/Y186</f>
        <v>0.2</v>
      </c>
      <c r="AC186" s="70" t="str">
        <f t="shared" ref="AC186" si="348">IF(AB186&lt;25%,"Média",IF(AB186&gt;=25%,"Mediana"))</f>
        <v>Média</v>
      </c>
      <c r="AD186" s="44">
        <f>Y186</f>
        <v>12.5</v>
      </c>
    </row>
    <row r="187" spans="2:30" ht="78.75" x14ac:dyDescent="0.25">
      <c r="B187" s="8" t="s">
        <v>528</v>
      </c>
      <c r="C187" s="8" t="s">
        <v>529</v>
      </c>
      <c r="D187" s="8" t="s">
        <v>70</v>
      </c>
      <c r="E187" s="18"/>
      <c r="F187" s="72">
        <v>145.19999999999999</v>
      </c>
      <c r="G187" s="59">
        <v>100</v>
      </c>
      <c r="H187" s="16">
        <v>100</v>
      </c>
      <c r="I187" s="16">
        <v>85</v>
      </c>
      <c r="J187" s="18"/>
      <c r="K187" s="18"/>
      <c r="L187" s="18"/>
      <c r="M187" s="72">
        <v>30</v>
      </c>
      <c r="N187" s="22"/>
      <c r="O187" s="22"/>
      <c r="P187" s="18"/>
      <c r="Q187" s="72">
        <v>15</v>
      </c>
      <c r="R187" s="18"/>
      <c r="S187" s="18"/>
      <c r="T187" s="18"/>
      <c r="U187" s="67">
        <f>AVERAGE(F187:I187,M187,Q187)</f>
        <v>79.2</v>
      </c>
      <c r="V187" s="67">
        <f>_xlfn.STDEV.P(F187:I187,M187,Q187)</f>
        <v>44.34185381780965</v>
      </c>
      <c r="W187" s="68">
        <f t="shared" ref="W187" si="349">U187-V187</f>
        <v>34.858146182190353</v>
      </c>
      <c r="X187" s="68">
        <f t="shared" ref="X187" si="350">U187+V187</f>
        <v>123.54185381780965</v>
      </c>
      <c r="Y187" s="69">
        <f>AVERAGE(G187:I187)</f>
        <v>95</v>
      </c>
      <c r="Z187" s="69">
        <f>MEDIAN(G187:I187)</f>
        <v>100</v>
      </c>
      <c r="AA187" s="70">
        <f>_xlfn.STDEV.P(G187:I187)</f>
        <v>7.0710678118654755</v>
      </c>
      <c r="AB187" s="71">
        <f t="shared" ref="AB187" si="351">AA187/Y187</f>
        <v>7.4432292756478696E-2</v>
      </c>
      <c r="AC187" s="70" t="str">
        <f t="shared" ref="AC187" si="352">IF(AB187&lt;25%,"Média",IF(AB187&gt;=25%,"Mediana"))</f>
        <v>Média</v>
      </c>
      <c r="AD187" s="44">
        <f>Y187</f>
        <v>95</v>
      </c>
    </row>
    <row r="188" spans="2:30" ht="15.75" x14ac:dyDescent="0.25">
      <c r="B188" s="8" t="s">
        <v>531</v>
      </c>
      <c r="C188" s="8" t="s">
        <v>532</v>
      </c>
      <c r="D188" s="8" t="s">
        <v>357</v>
      </c>
      <c r="E188" s="18"/>
      <c r="F188" s="18"/>
      <c r="G188" s="19">
        <v>60</v>
      </c>
      <c r="H188" s="18"/>
      <c r="I188" s="18"/>
      <c r="J188" s="18"/>
      <c r="K188" s="18"/>
      <c r="L188" s="18"/>
      <c r="M188" s="19">
        <v>50</v>
      </c>
      <c r="N188" s="22"/>
      <c r="O188" s="22"/>
      <c r="P188" s="18"/>
      <c r="Q188" s="18"/>
      <c r="R188" s="18"/>
      <c r="S188" s="18"/>
      <c r="T188" s="18"/>
      <c r="U188" s="128" t="s">
        <v>819</v>
      </c>
      <c r="V188" s="129"/>
      <c r="W188" s="129"/>
      <c r="X188" s="129"/>
      <c r="Y188" s="129"/>
      <c r="Z188" s="129"/>
      <c r="AA188" s="129"/>
      <c r="AB188" s="129"/>
      <c r="AC188" s="130"/>
      <c r="AD188" s="43">
        <f>AVERAGE(G188,M188)</f>
        <v>55</v>
      </c>
    </row>
    <row r="189" spans="2:30" ht="47.25" x14ac:dyDescent="0.25">
      <c r="B189" s="8" t="s">
        <v>346</v>
      </c>
      <c r="C189" s="8" t="s">
        <v>347</v>
      </c>
      <c r="D189" s="8" t="s">
        <v>70</v>
      </c>
      <c r="E189" s="18"/>
      <c r="F189" s="18"/>
      <c r="G189" s="18"/>
      <c r="H189" s="18"/>
      <c r="I189" s="18"/>
      <c r="J189" s="18"/>
      <c r="K189" s="18"/>
      <c r="L189" s="18"/>
      <c r="M189" s="18"/>
      <c r="N189" s="18"/>
      <c r="O189" s="20">
        <v>20</v>
      </c>
      <c r="P189" s="18"/>
      <c r="Q189" s="72">
        <v>16</v>
      </c>
      <c r="R189" s="18"/>
      <c r="S189" s="74">
        <v>24</v>
      </c>
      <c r="T189" s="30"/>
      <c r="U189" s="67">
        <f>AVERAGE(O189,Q189,S189)</f>
        <v>20</v>
      </c>
      <c r="V189" s="67">
        <f>_xlfn.STDEV.P(O189,Q189,S189)</f>
        <v>3.2659863237109041</v>
      </c>
      <c r="W189" s="68">
        <f t="shared" ref="W189" si="353">U189-V189</f>
        <v>16.734013676289095</v>
      </c>
      <c r="X189" s="68">
        <f t="shared" ref="X189" si="354">U189+V189</f>
        <v>23.265986323710905</v>
      </c>
      <c r="Y189" s="69">
        <f>AVERAGE(O189)</f>
        <v>20</v>
      </c>
      <c r="Z189" s="69">
        <f>MEDIAN(O189)</f>
        <v>20</v>
      </c>
      <c r="AA189" s="70">
        <f>_xlfn.STDEV.P(O189)</f>
        <v>0</v>
      </c>
      <c r="AB189" s="71">
        <f t="shared" ref="AB189" si="355">AA189/Y189</f>
        <v>0</v>
      </c>
      <c r="AC189" s="70" t="str">
        <f t="shared" ref="AC189" si="356">IF(AB189&lt;25%,"Média",IF(AB189&gt;=25%,"Mediana"))</f>
        <v>Média</v>
      </c>
      <c r="AD189" s="44">
        <f>Y189</f>
        <v>20</v>
      </c>
    </row>
    <row r="190" spans="2:30" ht="47.25" x14ac:dyDescent="0.25">
      <c r="B190" s="8" t="s">
        <v>331</v>
      </c>
      <c r="C190" s="8" t="s">
        <v>332</v>
      </c>
      <c r="D190" s="8" t="s">
        <v>70</v>
      </c>
      <c r="E190" s="18"/>
      <c r="F190" s="72">
        <v>110</v>
      </c>
      <c r="G190" s="16">
        <v>90</v>
      </c>
      <c r="H190" s="16">
        <v>100</v>
      </c>
      <c r="I190" s="22"/>
      <c r="J190" s="18"/>
      <c r="K190" s="18"/>
      <c r="L190" s="18"/>
      <c r="M190" s="72">
        <v>20</v>
      </c>
      <c r="N190" s="22"/>
      <c r="O190" s="22"/>
      <c r="P190" s="18"/>
      <c r="Q190" s="18"/>
      <c r="R190" s="18"/>
      <c r="S190" s="25">
        <v>40</v>
      </c>
      <c r="T190" s="30"/>
      <c r="U190" s="67">
        <f>AVERAGE(F190:H190,M190,S190)</f>
        <v>72</v>
      </c>
      <c r="V190" s="67">
        <f>_xlfn.STDEV.P(F190:H190,M190,S190)</f>
        <v>35.440090293338699</v>
      </c>
      <c r="W190" s="68">
        <f t="shared" ref="W190" si="357">U190-V190</f>
        <v>36.559909706661301</v>
      </c>
      <c r="X190" s="68">
        <f t="shared" ref="X190" si="358">U190+V190</f>
        <v>107.4400902933387</v>
      </c>
      <c r="Y190" s="69">
        <f>AVERAGE(G190:H190,S190)</f>
        <v>76.666666666666671</v>
      </c>
      <c r="Z190" s="69">
        <f>MEDIAN(G190:H190,S190)</f>
        <v>90</v>
      </c>
      <c r="AA190" s="70">
        <f>_xlfn.STDEV.P(G190:H190,S190)</f>
        <v>26.246692913372705</v>
      </c>
      <c r="AB190" s="71">
        <f t="shared" ref="AB190" si="359">AA190/Y190</f>
        <v>0.34234816843529614</v>
      </c>
      <c r="AC190" s="70" t="str">
        <f t="shared" ref="AC190" si="360">IF(AB190&lt;25%,"Média",IF(AB190&gt;=25%,"Mediana"))</f>
        <v>Mediana</v>
      </c>
      <c r="AD190" s="44">
        <f>Z190</f>
        <v>90</v>
      </c>
    </row>
    <row r="191" spans="2:30" ht="47.25" x14ac:dyDescent="0.25">
      <c r="B191" s="8" t="s">
        <v>536</v>
      </c>
      <c r="C191" s="8" t="s">
        <v>537</v>
      </c>
      <c r="D191" s="8" t="s">
        <v>70</v>
      </c>
      <c r="E191" s="18"/>
      <c r="F191" s="18"/>
      <c r="G191" s="36">
        <v>220</v>
      </c>
      <c r="H191" s="18"/>
      <c r="I191" s="18"/>
      <c r="J191" s="18"/>
      <c r="K191" s="19">
        <f>30*3</f>
        <v>90</v>
      </c>
      <c r="L191" s="18"/>
      <c r="M191" s="18"/>
      <c r="N191" s="19">
        <f>15*8</f>
        <v>120</v>
      </c>
      <c r="O191" s="72">
        <v>150</v>
      </c>
      <c r="P191" s="18"/>
      <c r="Q191" s="72">
        <v>80</v>
      </c>
      <c r="R191" s="18"/>
      <c r="S191" s="18"/>
      <c r="T191" s="18"/>
      <c r="U191" s="67">
        <f>AVERAGE(K191,N191:O191,Q191)</f>
        <v>110</v>
      </c>
      <c r="V191" s="67">
        <f>_xlfn.STDEV.P(K191,N191:O191,Q191)</f>
        <v>27.386127875258307</v>
      </c>
      <c r="W191" s="68">
        <f t="shared" ref="W191" si="361">U191-V191</f>
        <v>82.61387212474169</v>
      </c>
      <c r="X191" s="68">
        <f t="shared" ref="X191" si="362">U191+V191</f>
        <v>137.3861278752583</v>
      </c>
      <c r="Y191" s="69">
        <f>AVERAGE(K191,N191)</f>
        <v>105</v>
      </c>
      <c r="Z191" s="69">
        <f>MEDIAN(K191,N191)</f>
        <v>105</v>
      </c>
      <c r="AA191" s="70">
        <f>_xlfn.STDEV.P(K191,N191)</f>
        <v>15</v>
      </c>
      <c r="AB191" s="71">
        <f t="shared" ref="AB191" si="363">AA191/Y191</f>
        <v>0.14285714285714285</v>
      </c>
      <c r="AC191" s="70" t="str">
        <f t="shared" ref="AC191" si="364">IF(AB191&lt;25%,"Média",IF(AB191&gt;=25%,"Mediana"))</f>
        <v>Média</v>
      </c>
      <c r="AD191" s="44">
        <f>Y191</f>
        <v>105</v>
      </c>
    </row>
    <row r="192" spans="2:30" ht="47.25" x14ac:dyDescent="0.25">
      <c r="B192" s="8" t="s">
        <v>334</v>
      </c>
      <c r="C192" s="8" t="s">
        <v>335</v>
      </c>
      <c r="D192" s="8" t="s">
        <v>70</v>
      </c>
      <c r="E192" s="18"/>
      <c r="F192" s="36">
        <v>770</v>
      </c>
      <c r="G192" s="36">
        <v>300</v>
      </c>
      <c r="H192" s="36">
        <v>700</v>
      </c>
      <c r="I192" s="36">
        <v>880</v>
      </c>
      <c r="J192" s="18"/>
      <c r="K192" s="20">
        <v>75</v>
      </c>
      <c r="L192" s="18"/>
      <c r="M192" s="18"/>
      <c r="N192" s="72">
        <f>40*3</f>
        <v>120</v>
      </c>
      <c r="O192" s="20">
        <v>92.66</v>
      </c>
      <c r="P192" s="72">
        <v>30</v>
      </c>
      <c r="Q192" s="19">
        <v>60</v>
      </c>
      <c r="R192" s="18"/>
      <c r="S192" s="18"/>
      <c r="T192" s="18"/>
      <c r="U192" s="67">
        <f>AVERAGE(K192,N192:Q192)</f>
        <v>75.531999999999996</v>
      </c>
      <c r="V192" s="67">
        <f>_xlfn.STDEV.P(K192,N192:Q192)</f>
        <v>30.283528460204248</v>
      </c>
      <c r="W192" s="68">
        <f t="shared" ref="W192" si="365">U192-V192</f>
        <v>45.248471539795744</v>
      </c>
      <c r="X192" s="68">
        <f t="shared" ref="X192" si="366">U192+V192</f>
        <v>105.81552846020425</v>
      </c>
      <c r="Y192" s="69">
        <f>AVERAGE(K192,O192,Q192)</f>
        <v>75.88666666666667</v>
      </c>
      <c r="Z192" s="69">
        <f>MEDIAN(K192,O192,Q192)</f>
        <v>75</v>
      </c>
      <c r="AA192" s="70">
        <f>_xlfn.STDEV.P(K192,O192,Q192)</f>
        <v>13.348121798798353</v>
      </c>
      <c r="AB192" s="71">
        <f t="shared" ref="AB192" si="367">AA192/Y192</f>
        <v>0.17589548184307766</v>
      </c>
      <c r="AC192" s="70" t="str">
        <f t="shared" ref="AC192" si="368">IF(AB192&lt;25%,"Média",IF(AB192&gt;=25%,"Mediana"))</f>
        <v>Média</v>
      </c>
      <c r="AD192" s="44">
        <f>Y192</f>
        <v>75.88666666666667</v>
      </c>
    </row>
    <row r="193" spans="2:30" ht="47.25" x14ac:dyDescent="0.25">
      <c r="B193" s="8" t="s">
        <v>337</v>
      </c>
      <c r="C193" s="8" t="s">
        <v>540</v>
      </c>
      <c r="D193" s="8" t="s">
        <v>70</v>
      </c>
      <c r="E193" s="18"/>
      <c r="F193" s="18"/>
      <c r="G193" s="36">
        <v>420</v>
      </c>
      <c r="H193" s="18"/>
      <c r="I193" s="18"/>
      <c r="J193" s="18"/>
      <c r="K193" s="18"/>
      <c r="L193" s="18"/>
      <c r="M193" s="18"/>
      <c r="N193" s="18"/>
      <c r="O193" s="22"/>
      <c r="P193" s="25">
        <v>10</v>
      </c>
      <c r="Q193" s="19">
        <v>30</v>
      </c>
      <c r="R193" s="18"/>
      <c r="S193" s="18"/>
      <c r="T193" s="18"/>
      <c r="U193" s="128" t="s">
        <v>824</v>
      </c>
      <c r="V193" s="129"/>
      <c r="W193" s="129"/>
      <c r="X193" s="129"/>
      <c r="Y193" s="129"/>
      <c r="Z193" s="129"/>
      <c r="AA193" s="129"/>
      <c r="AB193" s="129"/>
      <c r="AC193" s="130"/>
      <c r="AD193" s="44">
        <f>AVERAGE(P193:Q193)</f>
        <v>20</v>
      </c>
    </row>
    <row r="194" spans="2:30" ht="47.25" x14ac:dyDescent="0.25">
      <c r="B194" s="8" t="s">
        <v>340</v>
      </c>
      <c r="C194" s="8" t="s">
        <v>542</v>
      </c>
      <c r="D194" s="8" t="s">
        <v>70</v>
      </c>
      <c r="E194" s="18"/>
      <c r="F194" s="36">
        <v>220</v>
      </c>
      <c r="G194" s="36">
        <v>220</v>
      </c>
      <c r="H194" s="36">
        <v>200</v>
      </c>
      <c r="I194" s="36">
        <v>740</v>
      </c>
      <c r="J194" s="18"/>
      <c r="K194" s="18"/>
      <c r="L194" s="18"/>
      <c r="M194" s="72">
        <v>60</v>
      </c>
      <c r="N194" s="22"/>
      <c r="O194" s="20">
        <v>51</v>
      </c>
      <c r="P194" s="74">
        <v>30</v>
      </c>
      <c r="Q194" s="28"/>
      <c r="R194" s="18"/>
      <c r="S194" s="18"/>
      <c r="T194" s="18"/>
      <c r="U194" s="67">
        <f>AVERAGE(M194,O194:P194)</f>
        <v>47</v>
      </c>
      <c r="V194" s="67">
        <f>_xlfn.STDEV.P(M194,O194:P194)</f>
        <v>12.569805089976535</v>
      </c>
      <c r="W194" s="68">
        <f t="shared" ref="W194" si="369">U194-V194</f>
        <v>34.430194910023467</v>
      </c>
      <c r="X194" s="68">
        <f t="shared" ref="X194" si="370">U194+V194</f>
        <v>59.569805089976533</v>
      </c>
      <c r="Y194" s="69">
        <f>AVERAGE(O194)</f>
        <v>51</v>
      </c>
      <c r="Z194" s="69">
        <f>MEDIAN(O194)</f>
        <v>51</v>
      </c>
      <c r="AA194" s="70">
        <f>_xlfn.STDEV.P(O194)</f>
        <v>0</v>
      </c>
      <c r="AB194" s="71">
        <f t="shared" ref="AB194" si="371">AA194/Y194</f>
        <v>0</v>
      </c>
      <c r="AC194" s="70" t="str">
        <f t="shared" ref="AC194" si="372">IF(AB194&lt;25%,"Média",IF(AB194&gt;=25%,"Mediana"))</f>
        <v>Média</v>
      </c>
      <c r="AD194" s="44">
        <f>Y194</f>
        <v>51</v>
      </c>
    </row>
    <row r="195" spans="2:30" ht="47.25" x14ac:dyDescent="0.25">
      <c r="B195" s="8" t="s">
        <v>343</v>
      </c>
      <c r="C195" s="8" t="s">
        <v>344</v>
      </c>
      <c r="D195" s="8" t="s">
        <v>70</v>
      </c>
      <c r="E195" s="18"/>
      <c r="F195" s="18"/>
      <c r="G195" s="18"/>
      <c r="H195" s="18"/>
      <c r="I195" s="18"/>
      <c r="J195" s="18"/>
      <c r="K195" s="18"/>
      <c r="L195" s="18"/>
      <c r="M195" s="18"/>
      <c r="N195" s="18"/>
      <c r="O195" s="18"/>
      <c r="P195" s="18"/>
      <c r="Q195" s="19">
        <v>16</v>
      </c>
      <c r="R195" s="74">
        <v>45</v>
      </c>
      <c r="S195" s="25">
        <v>20</v>
      </c>
      <c r="T195" s="30"/>
      <c r="U195" s="67">
        <f>AVERAGE(Q195:S195)</f>
        <v>27</v>
      </c>
      <c r="V195" s="67">
        <f>_xlfn.STDEV.P(Q195:S195)</f>
        <v>12.832251036613439</v>
      </c>
      <c r="W195" s="68">
        <f t="shared" ref="W195" si="373">U195-V195</f>
        <v>14.167748963386561</v>
      </c>
      <c r="X195" s="68">
        <f t="shared" ref="X195" si="374">U195+V195</f>
        <v>39.832251036613442</v>
      </c>
      <c r="Y195" s="69">
        <f>AVERAGE(Q195,S195)</f>
        <v>18</v>
      </c>
      <c r="Z195" s="69">
        <f>MEDIAN(Q195,S195)</f>
        <v>18</v>
      </c>
      <c r="AA195" s="70">
        <f>_xlfn.STDEV.P(Q195,S195)</f>
        <v>2</v>
      </c>
      <c r="AB195" s="71">
        <f t="shared" ref="AB195" si="375">AA195/Y195</f>
        <v>0.1111111111111111</v>
      </c>
      <c r="AC195" s="70" t="str">
        <f t="shared" ref="AC195" si="376">IF(AB195&lt;25%,"Média",IF(AB195&gt;=25%,"Mediana"))</f>
        <v>Média</v>
      </c>
      <c r="AD195" s="44">
        <f>Y195</f>
        <v>18</v>
      </c>
    </row>
    <row r="196" spans="2:30" ht="157.5" x14ac:dyDescent="0.25">
      <c r="B196" s="8" t="s">
        <v>727</v>
      </c>
      <c r="C196" s="8" t="s">
        <v>728</v>
      </c>
      <c r="D196" s="8" t="s">
        <v>224</v>
      </c>
      <c r="E196" s="18"/>
      <c r="F196" s="18"/>
      <c r="G196" s="18"/>
      <c r="H196" s="18"/>
      <c r="I196" s="18"/>
      <c r="J196" s="18"/>
      <c r="K196" s="18"/>
      <c r="L196" s="18"/>
      <c r="M196" s="18"/>
      <c r="N196" s="18"/>
      <c r="O196" s="18"/>
      <c r="P196" s="18"/>
      <c r="Q196" s="19">
        <v>30</v>
      </c>
      <c r="R196" s="18"/>
      <c r="S196" s="18"/>
      <c r="T196" s="18"/>
      <c r="U196" s="128" t="s">
        <v>821</v>
      </c>
      <c r="V196" s="129"/>
      <c r="W196" s="129"/>
      <c r="X196" s="129"/>
      <c r="Y196" s="129"/>
      <c r="Z196" s="129"/>
      <c r="AA196" s="129"/>
      <c r="AB196" s="129"/>
      <c r="AC196" s="130"/>
      <c r="AD196" s="44">
        <f>Q196</f>
        <v>30</v>
      </c>
    </row>
    <row r="197" spans="2:30" ht="78.75" x14ac:dyDescent="0.25">
      <c r="B197" s="8" t="s">
        <v>544</v>
      </c>
      <c r="C197" s="8" t="s">
        <v>545</v>
      </c>
      <c r="D197" s="8" t="s">
        <v>357</v>
      </c>
      <c r="E197" s="36">
        <v>185</v>
      </c>
      <c r="F197" s="36">
        <v>132</v>
      </c>
      <c r="G197" s="36">
        <v>160</v>
      </c>
      <c r="H197" s="36">
        <v>120</v>
      </c>
      <c r="I197" s="22"/>
      <c r="J197" s="18"/>
      <c r="K197" s="36">
        <v>600</v>
      </c>
      <c r="L197" s="18"/>
      <c r="M197" s="18"/>
      <c r="N197" s="18"/>
      <c r="O197" s="72">
        <v>40</v>
      </c>
      <c r="P197" s="25">
        <v>30</v>
      </c>
      <c r="Q197" s="19">
        <v>30</v>
      </c>
      <c r="R197" s="18"/>
      <c r="S197" s="18"/>
      <c r="T197" s="18"/>
      <c r="U197" s="67">
        <f>AVERAGE(O197:Q197)</f>
        <v>33.333333333333336</v>
      </c>
      <c r="V197" s="67">
        <f>_xlfn.STDEV.P(O197:Q197)</f>
        <v>4.714045207910317</v>
      </c>
      <c r="W197" s="68">
        <f t="shared" ref="W197" si="377">U197-V197</f>
        <v>28.619288125423019</v>
      </c>
      <c r="X197" s="68">
        <f t="shared" ref="X197" si="378">U197+V197</f>
        <v>38.047378541243653</v>
      </c>
      <c r="Y197" s="69">
        <f>AVERAGE(P197:Q197)</f>
        <v>30</v>
      </c>
      <c r="Z197" s="69">
        <f>MEDIAN(P197:Q197)</f>
        <v>30</v>
      </c>
      <c r="AA197" s="70">
        <f>_xlfn.STDEV.P(P197:Q197)</f>
        <v>0</v>
      </c>
      <c r="AB197" s="71">
        <f t="shared" ref="AB197" si="379">AA197/Y197</f>
        <v>0</v>
      </c>
      <c r="AC197" s="70" t="str">
        <f t="shared" ref="AC197" si="380">IF(AB197&lt;25%,"Média",IF(AB197&gt;=25%,"Mediana"))</f>
        <v>Média</v>
      </c>
      <c r="AD197" s="44">
        <f>Y197</f>
        <v>30</v>
      </c>
    </row>
    <row r="198" spans="2:30" ht="47.25" x14ac:dyDescent="0.25">
      <c r="B198" s="8" t="s">
        <v>349</v>
      </c>
      <c r="C198" s="8" t="s">
        <v>350</v>
      </c>
      <c r="D198" s="8" t="s">
        <v>301</v>
      </c>
      <c r="E198" s="18"/>
      <c r="F198" s="18"/>
      <c r="G198" s="18"/>
      <c r="H198" s="18"/>
      <c r="I198" s="18"/>
      <c r="J198" s="18"/>
      <c r="K198" s="18"/>
      <c r="L198" s="18"/>
      <c r="M198" s="18"/>
      <c r="N198" s="18"/>
      <c r="O198" s="18"/>
      <c r="P198" s="25">
        <v>20</v>
      </c>
      <c r="Q198" s="19">
        <v>20</v>
      </c>
      <c r="R198" s="74">
        <v>24.7</v>
      </c>
      <c r="S198" s="18"/>
      <c r="T198" s="18"/>
      <c r="U198" s="67">
        <f>AVERAGE(P198:R198)</f>
        <v>21.566666666666666</v>
      </c>
      <c r="V198" s="67">
        <f>_xlfn.STDEV.P(P198:R198)</f>
        <v>2.2156012477178333</v>
      </c>
      <c r="W198" s="68">
        <f t="shared" ref="W198" si="381">U198-V198</f>
        <v>19.351065418948835</v>
      </c>
      <c r="X198" s="68">
        <f t="shared" ref="X198" si="382">U198+V198</f>
        <v>23.782267914384498</v>
      </c>
      <c r="Y198" s="69">
        <f>AVERAGE(P198:Q198)</f>
        <v>20</v>
      </c>
      <c r="Z198" s="69">
        <f>MEDIAN(P198:Q198)</f>
        <v>20</v>
      </c>
      <c r="AA198" s="70">
        <f>_xlfn.STDEV.P(P198:Q198)</f>
        <v>0</v>
      </c>
      <c r="AB198" s="71">
        <f t="shared" ref="AB198" si="383">AA198/Y198</f>
        <v>0</v>
      </c>
      <c r="AC198" s="70" t="str">
        <f t="shared" ref="AC198" si="384">IF(AB198&lt;25%,"Média",IF(AB198&gt;=25%,"Mediana"))</f>
        <v>Média</v>
      </c>
      <c r="AD198" s="44">
        <f>Y198</f>
        <v>20</v>
      </c>
    </row>
    <row r="199" spans="2:30" ht="47.25" x14ac:dyDescent="0.25">
      <c r="B199" s="8" t="s">
        <v>352</v>
      </c>
      <c r="C199" s="8" t="s">
        <v>548</v>
      </c>
      <c r="D199" s="8" t="s">
        <v>12</v>
      </c>
      <c r="E199" s="18"/>
      <c r="F199" s="18"/>
      <c r="G199" s="36">
        <v>160</v>
      </c>
      <c r="H199" s="18"/>
      <c r="I199" s="36">
        <v>250</v>
      </c>
      <c r="J199" s="18"/>
      <c r="K199" s="18"/>
      <c r="L199" s="18"/>
      <c r="M199" s="18"/>
      <c r="N199" s="18"/>
      <c r="O199" s="18"/>
      <c r="P199" s="28"/>
      <c r="Q199" s="19">
        <v>44</v>
      </c>
      <c r="R199" s="18"/>
      <c r="S199" s="18"/>
      <c r="T199" s="18"/>
      <c r="U199" s="128" t="s">
        <v>825</v>
      </c>
      <c r="V199" s="129"/>
      <c r="W199" s="129"/>
      <c r="X199" s="129"/>
      <c r="Y199" s="129"/>
      <c r="Z199" s="129"/>
      <c r="AA199" s="129"/>
      <c r="AB199" s="129"/>
      <c r="AC199" s="130"/>
      <c r="AD199" s="44">
        <f>Q199</f>
        <v>44</v>
      </c>
    </row>
    <row r="200" spans="2:30" ht="220.5" x14ac:dyDescent="0.25">
      <c r="B200" s="8" t="s">
        <v>550</v>
      </c>
      <c r="C200" s="8" t="s">
        <v>551</v>
      </c>
      <c r="D200" s="8" t="s">
        <v>12</v>
      </c>
      <c r="E200" s="18"/>
      <c r="F200" s="36">
        <v>550</v>
      </c>
      <c r="G200" s="36">
        <v>510</v>
      </c>
      <c r="H200" s="36">
        <v>500</v>
      </c>
      <c r="I200" s="36">
        <v>688</v>
      </c>
      <c r="J200" s="18"/>
      <c r="K200" s="20">
        <v>140</v>
      </c>
      <c r="L200" s="18"/>
      <c r="M200" s="18"/>
      <c r="N200" s="18"/>
      <c r="O200" s="18"/>
      <c r="P200" s="25">
        <v>150</v>
      </c>
      <c r="Q200" s="18"/>
      <c r="R200" s="29"/>
      <c r="S200" s="18"/>
      <c r="T200" s="18"/>
      <c r="U200" s="128" t="s">
        <v>826</v>
      </c>
      <c r="V200" s="129"/>
      <c r="W200" s="129"/>
      <c r="X200" s="129"/>
      <c r="Y200" s="129"/>
      <c r="Z200" s="129"/>
      <c r="AA200" s="129"/>
      <c r="AB200" s="129"/>
      <c r="AC200" s="130"/>
      <c r="AD200" s="44">
        <f>AVERAGE(K200,P200)</f>
        <v>145</v>
      </c>
    </row>
    <row r="201" spans="2:30" ht="141.75" x14ac:dyDescent="0.25">
      <c r="B201" s="8" t="s">
        <v>554</v>
      </c>
      <c r="C201" s="8" t="s">
        <v>555</v>
      </c>
      <c r="D201" s="8" t="s">
        <v>357</v>
      </c>
      <c r="E201" s="18"/>
      <c r="F201" s="18"/>
      <c r="G201" s="36">
        <v>3700</v>
      </c>
      <c r="H201" s="18"/>
      <c r="I201" s="18"/>
      <c r="J201" s="18"/>
      <c r="K201" s="18"/>
      <c r="L201" s="18"/>
      <c r="M201" s="18"/>
      <c r="N201" s="18"/>
      <c r="O201" s="18"/>
      <c r="P201" s="18"/>
      <c r="Q201" s="19">
        <v>160</v>
      </c>
      <c r="R201" s="18"/>
      <c r="S201" s="18"/>
      <c r="T201" s="18"/>
      <c r="U201" s="128" t="s">
        <v>827</v>
      </c>
      <c r="V201" s="129"/>
      <c r="W201" s="129"/>
      <c r="X201" s="129"/>
      <c r="Y201" s="129"/>
      <c r="Z201" s="129"/>
      <c r="AA201" s="129"/>
      <c r="AB201" s="129"/>
      <c r="AC201" s="130"/>
      <c r="AD201" s="44">
        <f>Q201</f>
        <v>160</v>
      </c>
    </row>
    <row r="202" spans="2:30" ht="78.75" x14ac:dyDescent="0.25">
      <c r="B202" s="8" t="s">
        <v>557</v>
      </c>
      <c r="C202" s="8" t="s">
        <v>558</v>
      </c>
      <c r="D202" s="8" t="s">
        <v>70</v>
      </c>
      <c r="E202" s="18"/>
      <c r="F202" s="18"/>
      <c r="G202" s="18"/>
      <c r="H202" s="18"/>
      <c r="I202" s="18"/>
      <c r="J202" s="72">
        <v>145</v>
      </c>
      <c r="K202" s="19">
        <v>50</v>
      </c>
      <c r="L202" s="18"/>
      <c r="M202" s="19">
        <v>100</v>
      </c>
      <c r="N202" s="72">
        <v>20</v>
      </c>
      <c r="O202" s="18"/>
      <c r="P202" s="18"/>
      <c r="Q202" s="18"/>
      <c r="R202" s="25">
        <v>55</v>
      </c>
      <c r="S202" s="18"/>
      <c r="T202" s="18"/>
      <c r="U202" s="67">
        <f>AVERAGE(J202:K202,M202:N202,R202)</f>
        <v>74</v>
      </c>
      <c r="V202" s="67">
        <f>_xlfn.STDEV.P(J202:K202,M202:N202,R202)</f>
        <v>43.749285708454714</v>
      </c>
      <c r="W202" s="68">
        <f t="shared" ref="W202" si="385">U202-V202</f>
        <v>30.250714291545286</v>
      </c>
      <c r="X202" s="68">
        <f t="shared" ref="X202" si="386">U202+V202</f>
        <v>117.74928570845472</v>
      </c>
      <c r="Y202" s="69">
        <f>AVERAGE(K202,M202,R202)</f>
        <v>68.333333333333329</v>
      </c>
      <c r="Z202" s="69">
        <f>MEDIAN(K202,M202,R202)</f>
        <v>55</v>
      </c>
      <c r="AA202" s="70">
        <f>_xlfn.STDEV.P(K202,M202,R202)</f>
        <v>22.484562605386735</v>
      </c>
      <c r="AB202" s="71">
        <f t="shared" ref="AB202" si="387">AA202/Y202</f>
        <v>0.32904237959102539</v>
      </c>
      <c r="AC202" s="70" t="str">
        <f t="shared" ref="AC202" si="388">IF(AB202&lt;25%,"Média",IF(AB202&gt;=25%,"Mediana"))</f>
        <v>Mediana</v>
      </c>
      <c r="AD202" s="44">
        <f>Z202</f>
        <v>55</v>
      </c>
    </row>
    <row r="203" spans="2:30" ht="31.5" x14ac:dyDescent="0.25">
      <c r="B203" s="8" t="s">
        <v>665</v>
      </c>
      <c r="C203" s="8" t="s">
        <v>666</v>
      </c>
      <c r="D203" s="8" t="s">
        <v>70</v>
      </c>
      <c r="E203" s="18"/>
      <c r="F203" s="18"/>
      <c r="G203" s="18"/>
      <c r="H203" s="18"/>
      <c r="I203" s="18"/>
      <c r="J203" s="72">
        <v>145</v>
      </c>
      <c r="K203" s="19">
        <v>50</v>
      </c>
      <c r="L203" s="18"/>
      <c r="M203" s="19">
        <v>100</v>
      </c>
      <c r="N203" s="72">
        <v>20</v>
      </c>
      <c r="O203" s="18"/>
      <c r="P203" s="18"/>
      <c r="Q203" s="18"/>
      <c r="R203" s="25">
        <v>55</v>
      </c>
      <c r="S203" s="18"/>
      <c r="T203" s="18"/>
      <c r="U203" s="67">
        <f>AVERAGE(J203:K203,M203:N203,R203)</f>
        <v>74</v>
      </c>
      <c r="V203" s="67">
        <f>_xlfn.STDEV.P(J203:K203,M203:N203,R203)</f>
        <v>43.749285708454714</v>
      </c>
      <c r="W203" s="68">
        <f t="shared" ref="W203:W204" si="389">U203-V203</f>
        <v>30.250714291545286</v>
      </c>
      <c r="X203" s="68">
        <f t="shared" ref="X203:X204" si="390">U203+V203</f>
        <v>117.74928570845472</v>
      </c>
      <c r="Y203" s="69">
        <f>AVERAGE(K203,M203,R203)</f>
        <v>68.333333333333329</v>
      </c>
      <c r="Z203" s="69">
        <f>MEDIAN(K203,M203,R203)</f>
        <v>55</v>
      </c>
      <c r="AA203" s="70">
        <f>_xlfn.STDEV.P(K203,M203,R203)</f>
        <v>22.484562605386735</v>
      </c>
      <c r="AB203" s="71">
        <f t="shared" ref="AB203:AB204" si="391">AA203/Y203</f>
        <v>0.32904237959102539</v>
      </c>
      <c r="AC203" s="70" t="str">
        <f t="shared" ref="AC203:AC204" si="392">IF(AB203&lt;25%,"Média",IF(AB203&gt;=25%,"Mediana"))</f>
        <v>Mediana</v>
      </c>
      <c r="AD203" s="44">
        <f>AVERAGE(K203,N203,R203)</f>
        <v>41.666666666666664</v>
      </c>
    </row>
    <row r="204" spans="2:30" ht="47.25" x14ac:dyDescent="0.25">
      <c r="B204" s="8" t="s">
        <v>557</v>
      </c>
      <c r="C204" s="8" t="s">
        <v>667</v>
      </c>
      <c r="D204" s="8" t="s">
        <v>70</v>
      </c>
      <c r="E204" s="18"/>
      <c r="F204" s="18"/>
      <c r="G204" s="18"/>
      <c r="H204" s="18"/>
      <c r="I204" s="18"/>
      <c r="J204" s="72">
        <v>145</v>
      </c>
      <c r="K204" s="19">
        <v>50</v>
      </c>
      <c r="L204" s="18"/>
      <c r="M204" s="19">
        <v>100</v>
      </c>
      <c r="N204" s="72">
        <v>20</v>
      </c>
      <c r="O204" s="18"/>
      <c r="P204" s="18"/>
      <c r="Q204" s="18"/>
      <c r="R204" s="25">
        <v>55</v>
      </c>
      <c r="S204" s="18"/>
      <c r="T204" s="18"/>
      <c r="U204" s="67">
        <f>AVERAGE(J204:K204,M204:N204,R204)</f>
        <v>74</v>
      </c>
      <c r="V204" s="67">
        <f>_xlfn.STDEV.P(J204:K204,M204:N204,R204)</f>
        <v>43.749285708454714</v>
      </c>
      <c r="W204" s="68">
        <f t="shared" si="389"/>
        <v>30.250714291545286</v>
      </c>
      <c r="X204" s="68">
        <f t="shared" si="390"/>
        <v>117.74928570845472</v>
      </c>
      <c r="Y204" s="69">
        <f>AVERAGE(K204,M204,R204)</f>
        <v>68.333333333333329</v>
      </c>
      <c r="Z204" s="69">
        <f>MEDIAN(K204,M204,R204)</f>
        <v>55</v>
      </c>
      <c r="AA204" s="70">
        <f>_xlfn.STDEV.P(K204,M204,R204)</f>
        <v>22.484562605386735</v>
      </c>
      <c r="AB204" s="71">
        <f t="shared" si="391"/>
        <v>0.32904237959102539</v>
      </c>
      <c r="AC204" s="70" t="str">
        <f t="shared" si="392"/>
        <v>Mediana</v>
      </c>
      <c r="AD204" s="44">
        <f>AVERAGE(K204,N204,R204)</f>
        <v>41.666666666666664</v>
      </c>
    </row>
    <row r="205" spans="2:30" ht="78.75" x14ac:dyDescent="0.25">
      <c r="B205" s="8" t="s">
        <v>560</v>
      </c>
      <c r="C205" s="8" t="s">
        <v>561</v>
      </c>
      <c r="D205" s="8" t="s">
        <v>116</v>
      </c>
      <c r="E205" s="18"/>
      <c r="F205" s="18"/>
      <c r="G205" s="18"/>
      <c r="H205" s="18"/>
      <c r="I205" s="18"/>
      <c r="J205" s="18"/>
      <c r="K205" s="18"/>
      <c r="L205" s="18"/>
      <c r="M205" s="18"/>
      <c r="N205" s="18"/>
      <c r="O205" s="18"/>
      <c r="P205" s="18"/>
      <c r="Q205" s="18"/>
      <c r="R205" s="18"/>
      <c r="S205" s="18"/>
      <c r="T205" s="25">
        <v>350</v>
      </c>
      <c r="U205" s="128" t="s">
        <v>796</v>
      </c>
      <c r="V205" s="129"/>
      <c r="W205" s="129"/>
      <c r="X205" s="129"/>
      <c r="Y205" s="129"/>
      <c r="Z205" s="129"/>
      <c r="AA205" s="129"/>
      <c r="AB205" s="129"/>
      <c r="AC205" s="130"/>
      <c r="AD205" s="44">
        <f>T205</f>
        <v>350</v>
      </c>
    </row>
    <row r="206" spans="2:30" ht="157.5" x14ac:dyDescent="0.25">
      <c r="B206" s="8" t="s">
        <v>359</v>
      </c>
      <c r="C206" s="8" t="s">
        <v>563</v>
      </c>
      <c r="D206" s="8" t="s">
        <v>224</v>
      </c>
      <c r="E206" s="18"/>
      <c r="F206" s="18"/>
      <c r="G206" s="18"/>
      <c r="H206" s="18"/>
      <c r="I206" s="18"/>
      <c r="J206" s="74">
        <f>150/2</f>
        <v>75</v>
      </c>
      <c r="K206" s="18"/>
      <c r="L206" s="16">
        <v>40</v>
      </c>
      <c r="M206" s="19">
        <v>30</v>
      </c>
      <c r="N206" s="72">
        <v>95</v>
      </c>
      <c r="O206" s="72">
        <v>5</v>
      </c>
      <c r="P206" s="25">
        <v>21</v>
      </c>
      <c r="Q206" s="20">
        <v>15</v>
      </c>
      <c r="R206" s="18"/>
      <c r="S206" s="30"/>
      <c r="T206" s="30"/>
      <c r="U206" s="67">
        <f>AVERAGE(J206,L206:Q206)</f>
        <v>40.142857142857146</v>
      </c>
      <c r="V206" s="67">
        <f>_xlfn.STDEV.P(J206,L206:Q206)</f>
        <v>30.614789009928668</v>
      </c>
      <c r="W206" s="68">
        <f t="shared" ref="W206" si="393">U206-V206</f>
        <v>9.5280681329284782</v>
      </c>
      <c r="X206" s="68">
        <f t="shared" ref="X206" si="394">U206+V206</f>
        <v>70.75764615278581</v>
      </c>
      <c r="Y206" s="69">
        <f>AVERAGE(L206:M206,P206:Q206)</f>
        <v>26.5</v>
      </c>
      <c r="Z206" s="69">
        <f>MEDIAN(L206:M206,P206:Q206)</f>
        <v>25.5</v>
      </c>
      <c r="AA206" s="70">
        <f>_xlfn.STDEV.P(L206:M206,P206:Q206)</f>
        <v>9.4472218138455926</v>
      </c>
      <c r="AB206" s="71">
        <f t="shared" ref="AB206" si="395">AA206/Y206</f>
        <v>0.35649893637153179</v>
      </c>
      <c r="AC206" s="70" t="str">
        <f t="shared" ref="AC206" si="396">IF(AB206&lt;25%,"Média",IF(AB206&gt;=25%,"Mediana"))</f>
        <v>Mediana</v>
      </c>
      <c r="AD206" s="44">
        <f>Z206</f>
        <v>25.5</v>
      </c>
    </row>
    <row r="207" spans="2:30" ht="47.25" x14ac:dyDescent="0.25">
      <c r="B207" s="8" t="s">
        <v>565</v>
      </c>
      <c r="C207" s="8" t="s">
        <v>566</v>
      </c>
      <c r="D207" s="8" t="s">
        <v>70</v>
      </c>
      <c r="E207" s="18"/>
      <c r="F207" s="18"/>
      <c r="G207" s="18"/>
      <c r="H207" s="18"/>
      <c r="I207" s="18"/>
      <c r="J207" s="18"/>
      <c r="K207" s="19">
        <v>5</v>
      </c>
      <c r="L207" s="18"/>
      <c r="M207" s="72">
        <v>30</v>
      </c>
      <c r="N207" s="19">
        <v>8.24</v>
      </c>
      <c r="O207" s="18"/>
      <c r="P207" s="18"/>
      <c r="Q207" s="18"/>
      <c r="R207" s="18"/>
      <c r="S207" s="18"/>
      <c r="T207" s="18"/>
      <c r="U207" s="67">
        <f>AVERAGE(K207,M207:N207)</f>
        <v>14.413333333333334</v>
      </c>
      <c r="V207" s="67">
        <f>_xlfn.STDEV.P(K207,M207:N207)</f>
        <v>11.10052651403927</v>
      </c>
      <c r="W207" s="68">
        <f t="shared" ref="W207" si="397">U207-V207</f>
        <v>3.3128068192940638</v>
      </c>
      <c r="X207" s="68">
        <f t="shared" ref="X207" si="398">U207+V207</f>
        <v>25.513859847372604</v>
      </c>
      <c r="Y207" s="69">
        <f>AVERAGE(K207,N207)</f>
        <v>6.62</v>
      </c>
      <c r="Z207" s="69">
        <f>MEDIAN(K207,N207)</f>
        <v>6.62</v>
      </c>
      <c r="AA207" s="70">
        <f>_xlfn.STDEV.P(K207,N207)</f>
        <v>1.6199999999999983</v>
      </c>
      <c r="AB207" s="71">
        <f t="shared" ref="AB207" si="399">AA207/Y207</f>
        <v>0.24471299093655563</v>
      </c>
      <c r="AC207" s="70" t="str">
        <f t="shared" ref="AC207" si="400">IF(AB207&lt;25%,"Média",IF(AB207&gt;=25%,"Mediana"))</f>
        <v>Média</v>
      </c>
      <c r="AD207" s="44">
        <f>Y207</f>
        <v>6.62</v>
      </c>
    </row>
    <row r="208" spans="2:30" ht="63" x14ac:dyDescent="0.25">
      <c r="B208" s="8" t="s">
        <v>363</v>
      </c>
      <c r="C208" s="8" t="s">
        <v>364</v>
      </c>
      <c r="D208" s="8" t="s">
        <v>70</v>
      </c>
      <c r="E208" s="36">
        <v>200</v>
      </c>
      <c r="F208" s="36">
        <v>220</v>
      </c>
      <c r="G208" s="36">
        <v>350</v>
      </c>
      <c r="H208" s="36">
        <v>200</v>
      </c>
      <c r="I208" s="36">
        <v>210</v>
      </c>
      <c r="J208" s="36">
        <v>200</v>
      </c>
      <c r="K208" s="20">
        <v>30</v>
      </c>
      <c r="L208" s="20">
        <v>50</v>
      </c>
      <c r="M208" s="72">
        <v>80</v>
      </c>
      <c r="N208" s="72">
        <v>20</v>
      </c>
      <c r="O208" s="20">
        <v>40.130000000000003</v>
      </c>
      <c r="P208" s="25">
        <v>40</v>
      </c>
      <c r="Q208" s="18"/>
      <c r="R208" s="18"/>
      <c r="S208" s="18"/>
      <c r="T208" s="18"/>
      <c r="U208" s="67">
        <f>AVERAGE(K208:P208)</f>
        <v>43.354999999999997</v>
      </c>
      <c r="V208" s="67">
        <f>_xlfn.STDEV.P(K208:P208)</f>
        <v>18.852412533501745</v>
      </c>
      <c r="W208" s="68">
        <f t="shared" ref="W208" si="401">U208-V208</f>
        <v>24.502587466498252</v>
      </c>
      <c r="X208" s="68">
        <f t="shared" ref="X208" si="402">U208+V208</f>
        <v>62.207412533501738</v>
      </c>
      <c r="Y208" s="69">
        <f>AVERAGE(K208:L208,O208:P208)</f>
        <v>40.032499999999999</v>
      </c>
      <c r="Z208" s="69">
        <f>MEDIAN(K208:L208,O208:P208)</f>
        <v>40.064999999999998</v>
      </c>
      <c r="AA208" s="70">
        <f>_xlfn.STDEV.P(K208:L208,O208:P208)</f>
        <v>7.0712918727768699</v>
      </c>
      <c r="AB208" s="71">
        <f t="shared" ref="AB208" si="403">AA208/Y208</f>
        <v>0.17663877781244913</v>
      </c>
      <c r="AC208" s="70" t="str">
        <f t="shared" ref="AC208" si="404">IF(AB208&lt;25%,"Média",IF(AB208&gt;=25%,"Mediana"))</f>
        <v>Média</v>
      </c>
      <c r="AD208" s="44">
        <f>Y208</f>
        <v>40.032499999999999</v>
      </c>
    </row>
    <row r="209" spans="2:30" ht="31.5" x14ac:dyDescent="0.25">
      <c r="B209" s="8" t="s">
        <v>366</v>
      </c>
      <c r="C209" s="8" t="s">
        <v>367</v>
      </c>
      <c r="D209" s="8" t="s">
        <v>70</v>
      </c>
      <c r="E209" s="18"/>
      <c r="F209" s="18"/>
      <c r="G209" s="18"/>
      <c r="H209" s="18"/>
      <c r="I209" s="18"/>
      <c r="J209" s="36">
        <v>187.57</v>
      </c>
      <c r="K209" s="18"/>
      <c r="L209" s="18"/>
      <c r="M209" s="18"/>
      <c r="N209" s="18"/>
      <c r="O209" s="19">
        <v>38</v>
      </c>
      <c r="P209" s="28"/>
      <c r="Q209" s="72">
        <v>17.600000000000001</v>
      </c>
      <c r="R209" s="18"/>
      <c r="S209" s="25">
        <v>42.93</v>
      </c>
      <c r="T209" s="30"/>
      <c r="U209" s="67">
        <f>AVERAGE(O209,Q209,S209)</f>
        <v>32.843333333333334</v>
      </c>
      <c r="V209" s="67">
        <f>_xlfn.STDEV.P(O209,Q209,S209)</f>
        <v>10.964963393565071</v>
      </c>
      <c r="W209" s="68">
        <f t="shared" ref="W209" si="405">U209-V209</f>
        <v>21.878369939768262</v>
      </c>
      <c r="X209" s="68">
        <f t="shared" ref="X209" si="406">U209+V209</f>
        <v>43.808296726898405</v>
      </c>
      <c r="Y209" s="69">
        <f>AVERAGE(O209,S209)</f>
        <v>40.465000000000003</v>
      </c>
      <c r="Z209" s="69">
        <f>MEDIAN(O209,S209)</f>
        <v>40.465000000000003</v>
      </c>
      <c r="AA209" s="70">
        <f>_xlfn.STDEV.P(O209,S209)</f>
        <v>2.4649999999999999</v>
      </c>
      <c r="AB209" s="71">
        <f t="shared" ref="AB209" si="407">AA209/Y209</f>
        <v>6.0916841715062391E-2</v>
      </c>
      <c r="AC209" s="70" t="str">
        <f t="shared" ref="AC209" si="408">IF(AB209&lt;25%,"Média",IF(AB209&gt;=25%,"Mediana"))</f>
        <v>Média</v>
      </c>
      <c r="AD209" s="44">
        <f>Y209</f>
        <v>40.465000000000003</v>
      </c>
    </row>
    <row r="210" spans="2:30" ht="31.5" x14ac:dyDescent="0.25">
      <c r="B210" s="8" t="s">
        <v>668</v>
      </c>
      <c r="C210" s="8" t="s">
        <v>669</v>
      </c>
      <c r="D210" s="8" t="s">
        <v>70</v>
      </c>
      <c r="E210" s="18"/>
      <c r="F210" s="18"/>
      <c r="G210" s="18"/>
      <c r="H210" s="18"/>
      <c r="I210" s="18"/>
      <c r="J210" s="36">
        <v>312.57</v>
      </c>
      <c r="K210" s="18"/>
      <c r="L210" s="18"/>
      <c r="M210" s="18"/>
      <c r="N210" s="18"/>
      <c r="O210" s="19">
        <v>35</v>
      </c>
      <c r="P210" s="28"/>
      <c r="Q210" s="72">
        <v>17</v>
      </c>
      <c r="R210" s="18"/>
      <c r="S210" s="74">
        <v>50.5</v>
      </c>
      <c r="T210" s="30"/>
      <c r="U210" s="67">
        <f>AVERAGE(O210,Q210,S210)</f>
        <v>34.166666666666664</v>
      </c>
      <c r="V210" s="67">
        <f>_xlfn.STDEV.P(O210,Q210,S210)</f>
        <v>13.689006132254047</v>
      </c>
      <c r="W210" s="68">
        <f t="shared" ref="W210" si="409">U210-V210</f>
        <v>20.477660534412617</v>
      </c>
      <c r="X210" s="68">
        <f t="shared" ref="X210" si="410">U210+V210</f>
        <v>47.855672798920708</v>
      </c>
      <c r="Y210" s="69">
        <f>AVERAGE(O210)</f>
        <v>35</v>
      </c>
      <c r="Z210" s="69">
        <f>MEDIAN(O210)</f>
        <v>35</v>
      </c>
      <c r="AA210" s="70">
        <f>_xlfn.STDEV.P(O210)</f>
        <v>0</v>
      </c>
      <c r="AB210" s="71">
        <f t="shared" ref="AB210" si="411">AA210/Y210</f>
        <v>0</v>
      </c>
      <c r="AC210" s="70" t="str">
        <f t="shared" ref="AC210" si="412">IF(AB210&lt;25%,"Média",IF(AB210&gt;=25%,"Mediana"))</f>
        <v>Média</v>
      </c>
      <c r="AD210" s="44">
        <f>Y210</f>
        <v>35</v>
      </c>
    </row>
    <row r="211" spans="2:30" ht="31.5" x14ac:dyDescent="0.25">
      <c r="B211" s="8" t="s">
        <v>569</v>
      </c>
      <c r="C211" s="8" t="s">
        <v>570</v>
      </c>
      <c r="D211" s="8" t="s">
        <v>70</v>
      </c>
      <c r="E211" s="18"/>
      <c r="F211" s="36">
        <v>330</v>
      </c>
      <c r="G211" s="16">
        <v>50</v>
      </c>
      <c r="H211" s="36">
        <v>300</v>
      </c>
      <c r="I211" s="36">
        <v>240</v>
      </c>
      <c r="J211" s="36">
        <v>200</v>
      </c>
      <c r="K211" s="18"/>
      <c r="L211" s="18"/>
      <c r="M211" s="18"/>
      <c r="N211" s="18"/>
      <c r="O211" s="18"/>
      <c r="P211" s="18"/>
      <c r="Q211" s="18"/>
      <c r="R211" s="18"/>
      <c r="S211" s="18"/>
      <c r="T211" s="18"/>
      <c r="U211" s="128" t="s">
        <v>821</v>
      </c>
      <c r="V211" s="129"/>
      <c r="W211" s="129"/>
      <c r="X211" s="129"/>
      <c r="Y211" s="129"/>
      <c r="Z211" s="129"/>
      <c r="AA211" s="129"/>
      <c r="AB211" s="129"/>
      <c r="AC211" s="130"/>
      <c r="AD211" s="44">
        <f>G211</f>
        <v>50</v>
      </c>
    </row>
    <row r="212" spans="2:30" ht="15.75" x14ac:dyDescent="0.25">
      <c r="B212" s="8" t="s">
        <v>670</v>
      </c>
      <c r="C212" s="8" t="s">
        <v>671</v>
      </c>
      <c r="D212" s="8" t="s">
        <v>636</v>
      </c>
      <c r="E212" s="18"/>
      <c r="F212" s="18"/>
      <c r="G212" s="18"/>
      <c r="H212" s="18"/>
      <c r="I212" s="18"/>
      <c r="J212" s="18"/>
      <c r="K212" s="18"/>
      <c r="L212" s="18"/>
      <c r="M212" s="18"/>
      <c r="N212" s="18"/>
      <c r="O212" s="18"/>
      <c r="P212" s="18"/>
      <c r="Q212" s="18"/>
      <c r="R212" s="18"/>
      <c r="S212" s="25">
        <v>28</v>
      </c>
      <c r="T212" s="30"/>
      <c r="U212" s="128" t="s">
        <v>796</v>
      </c>
      <c r="V212" s="129"/>
      <c r="W212" s="129"/>
      <c r="X212" s="129"/>
      <c r="Y212" s="129"/>
      <c r="Z212" s="129"/>
      <c r="AA212" s="129"/>
      <c r="AB212" s="129"/>
      <c r="AC212" s="130"/>
      <c r="AD212" s="43">
        <f>S212</f>
        <v>28</v>
      </c>
    </row>
    <row r="213" spans="2:30" ht="78.75" x14ac:dyDescent="0.25">
      <c r="B213" s="8" t="s">
        <v>369</v>
      </c>
      <c r="C213" s="8" t="s">
        <v>370</v>
      </c>
      <c r="D213" s="8" t="s">
        <v>371</v>
      </c>
      <c r="E213" s="18"/>
      <c r="F213" s="36">
        <v>165</v>
      </c>
      <c r="G213" s="19">
        <v>120</v>
      </c>
      <c r="H213" s="36">
        <v>150</v>
      </c>
      <c r="I213" s="36">
        <v>265</v>
      </c>
      <c r="J213" s="18"/>
      <c r="K213" s="18"/>
      <c r="L213" s="18"/>
      <c r="M213" s="18"/>
      <c r="N213" s="18"/>
      <c r="O213" s="18"/>
      <c r="P213" s="18"/>
      <c r="Q213" s="18"/>
      <c r="R213" s="18"/>
      <c r="S213" s="18"/>
      <c r="T213" s="18"/>
      <c r="U213" s="128" t="s">
        <v>821</v>
      </c>
      <c r="V213" s="129"/>
      <c r="W213" s="129"/>
      <c r="X213" s="129"/>
      <c r="Y213" s="129"/>
      <c r="Z213" s="129"/>
      <c r="AA213" s="129"/>
      <c r="AB213" s="129"/>
      <c r="AC213" s="130"/>
      <c r="AD213" s="44">
        <f>G213</f>
        <v>120</v>
      </c>
    </row>
    <row r="214" spans="2:30" ht="63" x14ac:dyDescent="0.25">
      <c r="B214" s="8" t="s">
        <v>573</v>
      </c>
      <c r="C214" s="8" t="s">
        <v>574</v>
      </c>
      <c r="D214" s="8" t="s">
        <v>70</v>
      </c>
      <c r="E214" s="18"/>
      <c r="F214" s="36">
        <v>1650</v>
      </c>
      <c r="G214" s="36">
        <v>980</v>
      </c>
      <c r="H214" s="36">
        <v>1500</v>
      </c>
      <c r="I214" s="36">
        <v>885</v>
      </c>
      <c r="J214" s="18"/>
      <c r="K214" s="18"/>
      <c r="L214" s="18"/>
      <c r="M214" s="20">
        <v>1000</v>
      </c>
      <c r="N214" s="22"/>
      <c r="O214" s="20">
        <v>450</v>
      </c>
      <c r="P214" s="18"/>
      <c r="Q214" s="22"/>
      <c r="R214" s="18"/>
      <c r="S214" s="18"/>
      <c r="T214" s="18"/>
      <c r="U214" s="128" t="s">
        <v>797</v>
      </c>
      <c r="V214" s="129"/>
      <c r="W214" s="129"/>
      <c r="X214" s="129"/>
      <c r="Y214" s="129"/>
      <c r="Z214" s="129"/>
      <c r="AA214" s="129"/>
      <c r="AB214" s="129"/>
      <c r="AC214" s="130"/>
      <c r="AD214" s="44">
        <f>O214</f>
        <v>450</v>
      </c>
    </row>
    <row r="215" spans="2:30" ht="63" x14ac:dyDescent="0.25">
      <c r="B215" s="8" t="s">
        <v>576</v>
      </c>
      <c r="C215" s="8" t="s">
        <v>574</v>
      </c>
      <c r="D215" s="8" t="s">
        <v>70</v>
      </c>
      <c r="E215" s="18"/>
      <c r="F215" s="36">
        <v>3850</v>
      </c>
      <c r="G215" s="36">
        <v>1500</v>
      </c>
      <c r="H215" s="36">
        <v>3500</v>
      </c>
      <c r="I215" s="36">
        <v>1550</v>
      </c>
      <c r="J215" s="18"/>
      <c r="K215" s="18"/>
      <c r="L215" s="18"/>
      <c r="M215" s="18"/>
      <c r="N215" s="18"/>
      <c r="O215" s="20">
        <v>600</v>
      </c>
      <c r="P215" s="18"/>
      <c r="Q215" s="19">
        <v>649.5</v>
      </c>
      <c r="R215" s="18"/>
      <c r="S215" s="18"/>
      <c r="T215" s="18"/>
      <c r="U215" s="128" t="s">
        <v>797</v>
      </c>
      <c r="V215" s="129"/>
      <c r="W215" s="129"/>
      <c r="X215" s="129"/>
      <c r="Y215" s="129"/>
      <c r="Z215" s="129"/>
      <c r="AA215" s="129"/>
      <c r="AB215" s="129"/>
      <c r="AC215" s="130"/>
      <c r="AD215" s="44">
        <f>AVERAGE(O215,Q215)</f>
        <v>624.75</v>
      </c>
    </row>
    <row r="216" spans="2:30" ht="63" x14ac:dyDescent="0.25">
      <c r="B216" s="8" t="s">
        <v>578</v>
      </c>
      <c r="C216" s="8" t="s">
        <v>574</v>
      </c>
      <c r="D216" s="8" t="s">
        <v>70</v>
      </c>
      <c r="E216" s="18"/>
      <c r="F216" s="72">
        <v>1100</v>
      </c>
      <c r="G216" s="72">
        <v>600</v>
      </c>
      <c r="H216" s="16">
        <v>1000</v>
      </c>
      <c r="I216" s="16">
        <v>720</v>
      </c>
      <c r="J216" s="18"/>
      <c r="K216" s="18"/>
      <c r="L216" s="18"/>
      <c r="M216" s="18"/>
      <c r="N216" s="18"/>
      <c r="O216" s="22"/>
      <c r="P216" s="18"/>
      <c r="Q216" s="18"/>
      <c r="R216" s="18"/>
      <c r="S216" s="18"/>
      <c r="T216" s="18"/>
      <c r="U216" s="67">
        <f>AVERAGE(F216:I216)</f>
        <v>855</v>
      </c>
      <c r="V216" s="67">
        <f>_xlfn.STDEV.P(F216:I216)</f>
        <v>202.66968199511243</v>
      </c>
      <c r="W216" s="68">
        <f t="shared" ref="W216" si="413">U216-V216</f>
        <v>652.33031800488754</v>
      </c>
      <c r="X216" s="68">
        <f t="shared" ref="X216" si="414">U216+V216</f>
        <v>1057.6696819951123</v>
      </c>
      <c r="Y216" s="69">
        <f>AVERAGE(H216:I216)</f>
        <v>860</v>
      </c>
      <c r="Z216" s="69">
        <f>MEDIAN(H216:I216)</f>
        <v>860</v>
      </c>
      <c r="AA216" s="70">
        <f>_xlfn.STDEV.P(H216:I216)</f>
        <v>140</v>
      </c>
      <c r="AB216" s="71">
        <f t="shared" ref="AB216" si="415">AA216/Y216</f>
        <v>0.16279069767441862</v>
      </c>
      <c r="AC216" s="70" t="str">
        <f t="shared" ref="AC216" si="416">IF(AB216&lt;25%,"Média",IF(AB216&gt;=25%,"Mediana"))</f>
        <v>Média</v>
      </c>
      <c r="AD216" s="44">
        <f>Y216</f>
        <v>860</v>
      </c>
    </row>
    <row r="217" spans="2:30" ht="63" x14ac:dyDescent="0.25">
      <c r="B217" s="8" t="s">
        <v>580</v>
      </c>
      <c r="C217" s="8" t="s">
        <v>574</v>
      </c>
      <c r="D217" s="8" t="s">
        <v>70</v>
      </c>
      <c r="E217" s="18"/>
      <c r="F217" s="72">
        <v>1210</v>
      </c>
      <c r="G217" s="19">
        <v>700</v>
      </c>
      <c r="H217" s="16">
        <v>1100</v>
      </c>
      <c r="I217" s="16">
        <v>700</v>
      </c>
      <c r="J217" s="18"/>
      <c r="K217" s="18"/>
      <c r="L217" s="18"/>
      <c r="M217" s="18"/>
      <c r="N217" s="18"/>
      <c r="O217" s="18"/>
      <c r="P217" s="18"/>
      <c r="Q217" s="72">
        <v>550</v>
      </c>
      <c r="R217" s="18"/>
      <c r="S217" s="18"/>
      <c r="T217" s="18"/>
      <c r="U217" s="67">
        <f>AVERAGE(F217:I217,Q217)</f>
        <v>852</v>
      </c>
      <c r="V217" s="67">
        <f>_xlfn.STDEV.P(F217:I217,Q217)</f>
        <v>255.76551761330143</v>
      </c>
      <c r="W217" s="68">
        <f t="shared" ref="W217:W218" si="417">U217-V217</f>
        <v>596.23448238669857</v>
      </c>
      <c r="X217" s="68">
        <f t="shared" ref="X217:X218" si="418">U217+V217</f>
        <v>1107.7655176133014</v>
      </c>
      <c r="Y217" s="69">
        <f>AVERAGE(G217:I217)</f>
        <v>833.33333333333337</v>
      </c>
      <c r="Z217" s="69">
        <f>MEDIAN(G217:I217)</f>
        <v>700</v>
      </c>
      <c r="AA217" s="70">
        <f>_xlfn.STDEV.P(G217:I217)</f>
        <v>188.56180831641268</v>
      </c>
      <c r="AB217" s="71">
        <f t="shared" ref="AB217:AB218" si="419">AA217/Y217</f>
        <v>0.22627416997969521</v>
      </c>
      <c r="AC217" s="70" t="str">
        <f t="shared" ref="AC217:AC218" si="420">IF(AB217&lt;25%,"Média",IF(AB217&gt;=25%,"Mediana"))</f>
        <v>Média</v>
      </c>
      <c r="AD217" s="44">
        <f>Y217</f>
        <v>833.33333333333337</v>
      </c>
    </row>
    <row r="218" spans="2:30" ht="63" x14ac:dyDescent="0.25">
      <c r="B218" s="8" t="s">
        <v>582</v>
      </c>
      <c r="C218" s="8" t="s">
        <v>574</v>
      </c>
      <c r="D218" s="8" t="s">
        <v>70</v>
      </c>
      <c r="E218" s="18"/>
      <c r="F218" s="72">
        <v>1375</v>
      </c>
      <c r="G218" s="72">
        <v>850</v>
      </c>
      <c r="H218" s="16">
        <v>1250</v>
      </c>
      <c r="I218" s="72">
        <v>850</v>
      </c>
      <c r="J218" s="18"/>
      <c r="K218" s="18"/>
      <c r="L218" s="18"/>
      <c r="M218" s="18"/>
      <c r="N218" s="18"/>
      <c r="O218" s="22"/>
      <c r="P218" s="18"/>
      <c r="Q218" s="18"/>
      <c r="R218" s="18"/>
      <c r="S218" s="18"/>
      <c r="T218" s="18"/>
      <c r="U218" s="67">
        <f>AVERAGE(F218:I218)</f>
        <v>1081.25</v>
      </c>
      <c r="V218" s="67">
        <f>_xlfn.STDEV.P(F218:I218)</f>
        <v>235.43510252296704</v>
      </c>
      <c r="W218" s="68">
        <f t="shared" si="417"/>
        <v>845.8148974770329</v>
      </c>
      <c r="X218" s="68">
        <f t="shared" si="418"/>
        <v>1316.6851025229671</v>
      </c>
      <c r="Y218" s="69">
        <f>AVERAGE(H218)</f>
        <v>1250</v>
      </c>
      <c r="Z218" s="69">
        <f>MEDIAN(H218)</f>
        <v>1250</v>
      </c>
      <c r="AA218" s="70">
        <f>_xlfn.STDEV.P(H218)</f>
        <v>0</v>
      </c>
      <c r="AB218" s="71">
        <f t="shared" si="419"/>
        <v>0</v>
      </c>
      <c r="AC218" s="70" t="str">
        <f t="shared" si="420"/>
        <v>Média</v>
      </c>
      <c r="AD218" s="44">
        <f>Y218</f>
        <v>1250</v>
      </c>
    </row>
    <row r="219" spans="2:30" ht="63" x14ac:dyDescent="0.25">
      <c r="B219" s="8" t="s">
        <v>584</v>
      </c>
      <c r="C219" s="8" t="s">
        <v>574</v>
      </c>
      <c r="D219" s="8" t="s">
        <v>224</v>
      </c>
      <c r="E219" s="18"/>
      <c r="F219" s="72">
        <v>82.5</v>
      </c>
      <c r="G219" s="36">
        <v>1300</v>
      </c>
      <c r="H219" s="16">
        <v>75</v>
      </c>
      <c r="I219" s="36">
        <v>1250</v>
      </c>
      <c r="J219" s="18"/>
      <c r="K219" s="18"/>
      <c r="L219" s="18"/>
      <c r="M219" s="18"/>
      <c r="N219" s="18"/>
      <c r="O219" s="20">
        <v>55</v>
      </c>
      <c r="P219" s="18"/>
      <c r="Q219" s="19">
        <v>50</v>
      </c>
      <c r="R219" s="25">
        <v>48.33</v>
      </c>
      <c r="S219" s="18"/>
      <c r="T219" s="18"/>
      <c r="U219" s="67">
        <f>AVERAGE(F219,H219,O219,Q219:R219)</f>
        <v>62.165999999999997</v>
      </c>
      <c r="V219" s="67">
        <f>_xlfn.STDEV.P(F219,H219,O219,Q219:R219)</f>
        <v>13.921071223149479</v>
      </c>
      <c r="W219" s="68">
        <f t="shared" ref="W219" si="421">U219-V219</f>
        <v>48.244928776850514</v>
      </c>
      <c r="X219" s="68">
        <f t="shared" ref="X219" si="422">U219+V219</f>
        <v>76.087071223149479</v>
      </c>
      <c r="Y219" s="69">
        <f>AVERAGE(H219,O219,Q219:R219)</f>
        <v>57.082499999999996</v>
      </c>
      <c r="Z219" s="69">
        <f>MEDIAN(H219,O219,Q219:R219)</f>
        <v>52.5</v>
      </c>
      <c r="AA219" s="70">
        <f>_xlfn.STDEV.P(H219,O219,Q219:R219)</f>
        <v>10.631811640073398</v>
      </c>
      <c r="AB219" s="71">
        <f t="shared" ref="AB219" si="423">AA219/Y219</f>
        <v>0.18625343389083165</v>
      </c>
      <c r="AC219" s="70" t="str">
        <f t="shared" ref="AC219" si="424">IF(AB219&lt;25%,"Média",IF(AB219&gt;=25%,"Mediana"))</f>
        <v>Média</v>
      </c>
      <c r="AD219" s="44">
        <f>Y219</f>
        <v>57.082499999999996</v>
      </c>
    </row>
    <row r="220" spans="2:30" ht="63" x14ac:dyDescent="0.25">
      <c r="B220" s="8" t="s">
        <v>586</v>
      </c>
      <c r="C220" s="8" t="s">
        <v>574</v>
      </c>
      <c r="D220" s="8" t="s">
        <v>224</v>
      </c>
      <c r="E220" s="18"/>
      <c r="F220" s="16">
        <v>77</v>
      </c>
      <c r="G220" s="36">
        <v>1300</v>
      </c>
      <c r="H220" s="16">
        <v>70</v>
      </c>
      <c r="I220" s="72">
        <v>90</v>
      </c>
      <c r="J220" s="36">
        <v>200</v>
      </c>
      <c r="K220" s="18"/>
      <c r="L220" s="18"/>
      <c r="M220" s="18"/>
      <c r="N220" s="18"/>
      <c r="O220" s="72">
        <v>30</v>
      </c>
      <c r="P220" s="18"/>
      <c r="Q220" s="18"/>
      <c r="R220" s="18"/>
      <c r="S220" s="18"/>
      <c r="T220" s="18"/>
      <c r="U220" s="67">
        <f>AVERAGE(F220,H220:I220,O220)</f>
        <v>66.75</v>
      </c>
      <c r="V220" s="67">
        <f>_xlfn.STDEV.P(F220,H220:I220,O220)</f>
        <v>22.398381637966615</v>
      </c>
      <c r="W220" s="68">
        <f t="shared" ref="W220" si="425">U220-V220</f>
        <v>44.351618362033385</v>
      </c>
      <c r="X220" s="68">
        <f t="shared" ref="X220" si="426">U220+V220</f>
        <v>89.148381637966622</v>
      </c>
      <c r="Y220" s="69">
        <f>AVERAGE(F220,H220)</f>
        <v>73.5</v>
      </c>
      <c r="Z220" s="69">
        <f>MEDIAN(F220,H220)</f>
        <v>73.5</v>
      </c>
      <c r="AA220" s="70">
        <f>_xlfn.STDEV.P(F220,H220)</f>
        <v>3.5</v>
      </c>
      <c r="AB220" s="71">
        <f t="shared" ref="AB220" si="427">AA220/Y220</f>
        <v>4.7619047619047616E-2</v>
      </c>
      <c r="AC220" s="70" t="str">
        <f t="shared" ref="AC220" si="428">IF(AB220&lt;25%,"Média",IF(AB220&gt;=25%,"Mediana"))</f>
        <v>Média</v>
      </c>
      <c r="AD220" s="44">
        <f>Y220</f>
        <v>73.5</v>
      </c>
    </row>
    <row r="221" spans="2:30" ht="31.5" x14ac:dyDescent="0.25">
      <c r="B221" s="8" t="s">
        <v>588</v>
      </c>
      <c r="C221" s="8" t="s">
        <v>589</v>
      </c>
      <c r="D221" s="8" t="s">
        <v>357</v>
      </c>
      <c r="E221" s="36">
        <v>150</v>
      </c>
      <c r="F221" s="36">
        <v>110</v>
      </c>
      <c r="G221" s="36">
        <v>220</v>
      </c>
      <c r="H221" s="36">
        <v>100</v>
      </c>
      <c r="I221" s="22"/>
      <c r="J221" s="18"/>
      <c r="K221" s="18"/>
      <c r="L221" s="18"/>
      <c r="M221" s="18"/>
      <c r="N221" s="19">
        <v>40</v>
      </c>
      <c r="O221" s="22"/>
      <c r="P221" s="18"/>
      <c r="Q221" s="19">
        <v>30</v>
      </c>
      <c r="R221" s="18"/>
      <c r="S221" s="18"/>
      <c r="T221" s="18"/>
      <c r="U221" s="128" t="s">
        <v>797</v>
      </c>
      <c r="V221" s="129"/>
      <c r="W221" s="129"/>
      <c r="X221" s="129"/>
      <c r="Y221" s="129"/>
      <c r="Z221" s="129"/>
      <c r="AA221" s="129"/>
      <c r="AB221" s="129"/>
      <c r="AC221" s="130"/>
      <c r="AD221" s="44">
        <f>AVERAGE(N221,Q221)</f>
        <v>35</v>
      </c>
    </row>
    <row r="222" spans="2:30" ht="63" x14ac:dyDescent="0.25">
      <c r="B222" s="8" t="s">
        <v>591</v>
      </c>
      <c r="C222" s="8" t="s">
        <v>592</v>
      </c>
      <c r="D222" s="8" t="s">
        <v>224</v>
      </c>
      <c r="E222" s="18"/>
      <c r="F222" s="18"/>
      <c r="G222" s="18"/>
      <c r="H222" s="18"/>
      <c r="I222" s="18"/>
      <c r="J222" s="18"/>
      <c r="K222" s="18"/>
      <c r="L222" s="19">
        <v>40</v>
      </c>
      <c r="M222" s="18"/>
      <c r="N222" s="18"/>
      <c r="O222" s="22"/>
      <c r="P222" s="18"/>
      <c r="Q222" s="18"/>
      <c r="R222" s="18"/>
      <c r="S222" s="18"/>
      <c r="T222" s="18"/>
      <c r="U222" s="128" t="s">
        <v>796</v>
      </c>
      <c r="V222" s="129"/>
      <c r="W222" s="129"/>
      <c r="X222" s="129"/>
      <c r="Y222" s="129"/>
      <c r="Z222" s="129"/>
      <c r="AA222" s="129"/>
      <c r="AB222" s="129"/>
      <c r="AC222" s="130"/>
      <c r="AD222" s="44">
        <f>L222</f>
        <v>40</v>
      </c>
    </row>
    <row r="223" spans="2:30" ht="63" x14ac:dyDescent="0.25">
      <c r="B223" s="8" t="s">
        <v>594</v>
      </c>
      <c r="C223" s="8" t="s">
        <v>592</v>
      </c>
      <c r="D223" s="8" t="s">
        <v>224</v>
      </c>
      <c r="E223" s="18"/>
      <c r="F223" s="18"/>
      <c r="G223" s="18"/>
      <c r="H223" s="18"/>
      <c r="I223" s="18"/>
      <c r="J223" s="18"/>
      <c r="K223" s="18"/>
      <c r="L223" s="18"/>
      <c r="M223" s="18"/>
      <c r="N223" s="19">
        <v>35</v>
      </c>
      <c r="O223" s="22"/>
      <c r="P223" s="18"/>
      <c r="Q223" s="19">
        <v>60</v>
      </c>
      <c r="R223" s="18"/>
      <c r="S223" s="18"/>
      <c r="T223" s="18"/>
      <c r="U223" s="128" t="s">
        <v>794</v>
      </c>
      <c r="V223" s="129"/>
      <c r="W223" s="129"/>
      <c r="X223" s="129"/>
      <c r="Y223" s="129"/>
      <c r="Z223" s="129"/>
      <c r="AA223" s="129"/>
      <c r="AB223" s="129"/>
      <c r="AC223" s="130"/>
      <c r="AD223" s="44">
        <f>AVERAGE(N223,Q223)</f>
        <v>47.5</v>
      </c>
    </row>
    <row r="224" spans="2:30" ht="63" x14ac:dyDescent="0.25">
      <c r="B224" s="8" t="s">
        <v>373</v>
      </c>
      <c r="C224" s="8" t="s">
        <v>596</v>
      </c>
      <c r="D224" s="8" t="s">
        <v>70</v>
      </c>
      <c r="E224" s="18"/>
      <c r="F224" s="18"/>
      <c r="G224" s="18"/>
      <c r="H224" s="18"/>
      <c r="I224" s="18"/>
      <c r="J224" s="18"/>
      <c r="K224" s="18"/>
      <c r="L224" s="18"/>
      <c r="M224" s="16">
        <v>30</v>
      </c>
      <c r="N224" s="72">
        <f>30+10</f>
        <v>40</v>
      </c>
      <c r="O224" s="72">
        <v>15</v>
      </c>
      <c r="P224" s="18"/>
      <c r="Q224" s="18"/>
      <c r="R224" s="18"/>
      <c r="S224" s="18"/>
      <c r="T224" s="18"/>
      <c r="U224" s="67">
        <f>AVERAGE(M224:O224)</f>
        <v>28.333333333333332</v>
      </c>
      <c r="V224" s="67">
        <f>_xlfn.STDEV.P(M224:O224)</f>
        <v>10.274023338281628</v>
      </c>
      <c r="W224" s="68">
        <f t="shared" ref="W224" si="429">U224-V224</f>
        <v>18.059309995051706</v>
      </c>
      <c r="X224" s="68">
        <f t="shared" ref="X224" si="430">U224+V224</f>
        <v>38.607356671614959</v>
      </c>
      <c r="Y224" s="69">
        <f>AVERAGE(M224)</f>
        <v>30</v>
      </c>
      <c r="Z224" s="69">
        <f>MEDIAN(M224)</f>
        <v>30</v>
      </c>
      <c r="AA224" s="70">
        <f>_xlfn.STDEV.P(M224)</f>
        <v>0</v>
      </c>
      <c r="AB224" s="71">
        <f t="shared" ref="AB224" si="431">AA224/Y224</f>
        <v>0</v>
      </c>
      <c r="AC224" s="70" t="str">
        <f t="shared" ref="AC224" si="432">IF(AB224&lt;25%,"Média",IF(AB224&gt;=25%,"Mediana"))</f>
        <v>Média</v>
      </c>
      <c r="AD224" s="44">
        <f>Y224</f>
        <v>30</v>
      </c>
    </row>
    <row r="225" spans="2:30" ht="47.25" x14ac:dyDescent="0.25">
      <c r="B225" s="8" t="s">
        <v>598</v>
      </c>
      <c r="C225" s="8" t="s">
        <v>599</v>
      </c>
      <c r="D225" s="8" t="s">
        <v>70</v>
      </c>
      <c r="E225" s="18"/>
      <c r="F225" s="18"/>
      <c r="G225" s="36">
        <v>430</v>
      </c>
      <c r="H225" s="18"/>
      <c r="I225" s="36">
        <v>85</v>
      </c>
      <c r="J225" s="18"/>
      <c r="K225" s="18"/>
      <c r="L225" s="72">
        <v>5</v>
      </c>
      <c r="M225" s="18"/>
      <c r="N225" s="18"/>
      <c r="O225" s="72">
        <v>40</v>
      </c>
      <c r="P225" s="19">
        <v>30</v>
      </c>
      <c r="Q225" s="16">
        <v>8.56</v>
      </c>
      <c r="R225" s="18"/>
      <c r="S225" s="18"/>
      <c r="T225" s="18"/>
      <c r="U225" s="67">
        <f>AVERAGE(L225,O225:Q225)</f>
        <v>20.89</v>
      </c>
      <c r="V225" s="67">
        <f>_xlfn.STDEV.P(L225,O225:Q225)</f>
        <v>14.600558208506961</v>
      </c>
      <c r="W225" s="68">
        <f t="shared" ref="W225" si="433">U225-V225</f>
        <v>6.2894417914930401</v>
      </c>
      <c r="X225" s="68">
        <f t="shared" ref="X225" si="434">U225+V225</f>
        <v>35.490558208506961</v>
      </c>
      <c r="Y225" s="69">
        <f>AVERAGE(P225:Q225)</f>
        <v>19.28</v>
      </c>
      <c r="Z225" s="69">
        <f>MEDIAN(P225:Q225)</f>
        <v>19.28</v>
      </c>
      <c r="AA225" s="70">
        <f>_xlfn.STDEV.P(P225:Q225)</f>
        <v>10.719999999999999</v>
      </c>
      <c r="AB225" s="71">
        <f t="shared" ref="AB225" si="435">AA225/Y225</f>
        <v>0.55601659751037336</v>
      </c>
      <c r="AC225" s="70" t="str">
        <f t="shared" ref="AC225" si="436">IF(AB225&lt;25%,"Média",IF(AB225&gt;=25%,"Mediana"))</f>
        <v>Mediana</v>
      </c>
      <c r="AD225" s="44">
        <f>Z225</f>
        <v>19.28</v>
      </c>
    </row>
    <row r="226" spans="2:30" ht="15.75" x14ac:dyDescent="0.25">
      <c r="B226" s="8"/>
      <c r="C226" s="8"/>
      <c r="D226" s="8"/>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row>
    <row r="227" spans="2:30" ht="15.75" x14ac:dyDescent="0.25">
      <c r="B227" s="31"/>
      <c r="C227" s="31"/>
      <c r="D227" s="31"/>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row>
    <row r="228" spans="2:30" ht="47.25" x14ac:dyDescent="0.25">
      <c r="B228" s="8" t="s">
        <v>600</v>
      </c>
      <c r="C228" s="8" t="s">
        <v>601</v>
      </c>
      <c r="D228" s="8" t="s">
        <v>116</v>
      </c>
      <c r="E228" s="18"/>
      <c r="F228" s="72">
        <v>220</v>
      </c>
      <c r="G228" s="19">
        <v>80</v>
      </c>
      <c r="H228" s="72">
        <v>200</v>
      </c>
      <c r="I228" s="22"/>
      <c r="J228" s="18"/>
      <c r="K228" s="18"/>
      <c r="L228" s="18"/>
      <c r="M228" s="19">
        <v>140</v>
      </c>
      <c r="N228" s="72">
        <v>60</v>
      </c>
      <c r="O228" s="18"/>
      <c r="P228" s="18"/>
      <c r="Q228" s="18"/>
      <c r="R228" s="18"/>
      <c r="S228" s="18"/>
      <c r="T228" s="18"/>
      <c r="U228" s="67">
        <f>AVERAGE(F228:H228,M228:N228)</f>
        <v>140</v>
      </c>
      <c r="V228" s="67">
        <f>_xlfn.STDEV.P(F228:H228,M228:N228)</f>
        <v>63.245553203367585</v>
      </c>
      <c r="W228" s="68">
        <f t="shared" ref="W228" si="437">U228-V228</f>
        <v>76.754446796632408</v>
      </c>
      <c r="X228" s="68">
        <f t="shared" ref="X228" si="438">U228+V228</f>
        <v>203.24555320336759</v>
      </c>
      <c r="Y228" s="69">
        <f>AVERAGE(G228,M228)</f>
        <v>110</v>
      </c>
      <c r="Z228" s="69">
        <f>MEDIAN(G228,M228)</f>
        <v>110</v>
      </c>
      <c r="AA228" s="70">
        <f>_xlfn.STDEV.P(G228,M228)</f>
        <v>30</v>
      </c>
      <c r="AB228" s="71">
        <f t="shared" ref="AB228" si="439">AA228/Y228</f>
        <v>0.27272727272727271</v>
      </c>
      <c r="AC228" s="70" t="str">
        <f t="shared" ref="AC228" si="440">IF(AB228&lt;25%,"Média",IF(AB228&gt;=25%,"Mediana"))</f>
        <v>Mediana</v>
      </c>
      <c r="AD228" s="44">
        <f>Z228</f>
        <v>110</v>
      </c>
    </row>
    <row r="229" spans="2:30" ht="110.25" x14ac:dyDescent="0.25">
      <c r="B229" s="8" t="s">
        <v>673</v>
      </c>
      <c r="C229" s="8" t="s">
        <v>674</v>
      </c>
      <c r="D229" s="8" t="s">
        <v>116</v>
      </c>
      <c r="E229" s="18"/>
      <c r="F229" s="18"/>
      <c r="G229" s="18"/>
      <c r="H229" s="18"/>
      <c r="I229" s="18"/>
      <c r="J229" s="18"/>
      <c r="K229" s="18"/>
      <c r="L229" s="18"/>
      <c r="M229" s="18"/>
      <c r="N229" s="18"/>
      <c r="O229" s="18"/>
      <c r="P229" s="18"/>
      <c r="Q229" s="18"/>
      <c r="R229" s="18"/>
      <c r="S229" s="25">
        <v>101</v>
      </c>
      <c r="T229" s="18"/>
      <c r="U229" s="128" t="s">
        <v>796</v>
      </c>
      <c r="V229" s="129"/>
      <c r="W229" s="129"/>
      <c r="X229" s="129"/>
      <c r="Y229" s="129"/>
      <c r="Z229" s="129"/>
      <c r="AA229" s="129"/>
      <c r="AB229" s="129"/>
      <c r="AC229" s="130"/>
      <c r="AD229" s="44">
        <f>S229</f>
        <v>101</v>
      </c>
    </row>
    <row r="230" spans="2:30" ht="31.5" x14ac:dyDescent="0.25">
      <c r="B230" s="8" t="s">
        <v>675</v>
      </c>
      <c r="C230" s="8" t="s">
        <v>676</v>
      </c>
      <c r="D230" s="8" t="s">
        <v>116</v>
      </c>
      <c r="E230" s="18"/>
      <c r="F230" s="72">
        <v>220</v>
      </c>
      <c r="G230" s="19">
        <v>80</v>
      </c>
      <c r="H230" s="72">
        <v>200</v>
      </c>
      <c r="I230" s="22"/>
      <c r="J230" s="18"/>
      <c r="K230" s="18"/>
      <c r="L230" s="18"/>
      <c r="M230" s="19">
        <v>140</v>
      </c>
      <c r="N230" s="16">
        <v>60</v>
      </c>
      <c r="O230" s="18"/>
      <c r="P230" s="18"/>
      <c r="Q230" s="18"/>
      <c r="R230" s="18"/>
      <c r="S230" s="74">
        <v>50</v>
      </c>
      <c r="T230" s="30"/>
      <c r="U230" s="67">
        <f>AVERAGE(F230:H230,M230:N230,S230)</f>
        <v>125</v>
      </c>
      <c r="V230" s="67">
        <f>_xlfn.STDEV.P(F230:H230,M230:N230,S230)</f>
        <v>66.770752080033759</v>
      </c>
      <c r="W230" s="68">
        <f t="shared" ref="W230" si="441">U230-V230</f>
        <v>58.229247919966241</v>
      </c>
      <c r="X230" s="68">
        <f t="shared" ref="X230" si="442">U230+V230</f>
        <v>191.77075208003376</v>
      </c>
      <c r="Y230" s="69">
        <f>AVERAGE(G230,M230:N230)</f>
        <v>93.333333333333329</v>
      </c>
      <c r="Z230" s="69">
        <f>MEDIAN(G230,M230:N230)</f>
        <v>80</v>
      </c>
      <c r="AA230" s="70">
        <f>_xlfn.STDEV.P(G230,M230:N230)</f>
        <v>33.993463423951901</v>
      </c>
      <c r="AB230" s="71">
        <f t="shared" ref="AB230" si="443">AA230/Y230</f>
        <v>0.3642156795423418</v>
      </c>
      <c r="AC230" s="70" t="str">
        <f t="shared" ref="AC230" si="444">IF(AB230&lt;25%,"Média",IF(AB230&gt;=25%,"Mediana"))</f>
        <v>Mediana</v>
      </c>
      <c r="AD230" s="44">
        <f>Z230</f>
        <v>80</v>
      </c>
    </row>
    <row r="231" spans="2:30" ht="47.25" x14ac:dyDescent="0.25">
      <c r="B231" s="8" t="s">
        <v>677</v>
      </c>
      <c r="C231" s="8" t="s">
        <v>678</v>
      </c>
      <c r="D231" s="8" t="s">
        <v>116</v>
      </c>
      <c r="E231" s="18"/>
      <c r="F231" s="36">
        <v>385</v>
      </c>
      <c r="G231" s="18"/>
      <c r="H231" s="19">
        <v>350</v>
      </c>
      <c r="I231" s="18"/>
      <c r="J231" s="18"/>
      <c r="K231" s="18"/>
      <c r="L231" s="18"/>
      <c r="M231" s="18"/>
      <c r="N231" s="18"/>
      <c r="O231" s="18"/>
      <c r="P231" s="18"/>
      <c r="Q231" s="18"/>
      <c r="R231" s="18"/>
      <c r="S231" s="18"/>
      <c r="T231" s="18"/>
      <c r="U231" s="128" t="s">
        <v>798</v>
      </c>
      <c r="V231" s="129"/>
      <c r="W231" s="129"/>
      <c r="X231" s="129"/>
      <c r="Y231" s="129"/>
      <c r="Z231" s="129"/>
      <c r="AA231" s="129"/>
      <c r="AB231" s="129"/>
      <c r="AC231" s="130"/>
      <c r="AD231" s="44">
        <f>H231</f>
        <v>350</v>
      </c>
    </row>
    <row r="232" spans="2:30" ht="31.5" x14ac:dyDescent="0.25">
      <c r="B232" s="8" t="s">
        <v>679</v>
      </c>
      <c r="C232" s="8" t="s">
        <v>680</v>
      </c>
      <c r="D232" s="8" t="s">
        <v>116</v>
      </c>
      <c r="E232" s="18"/>
      <c r="F232" s="36">
        <v>198</v>
      </c>
      <c r="G232" s="36">
        <v>450</v>
      </c>
      <c r="H232" s="36">
        <v>180</v>
      </c>
      <c r="I232" s="18"/>
      <c r="J232" s="18"/>
      <c r="K232" s="18"/>
      <c r="L232" s="18"/>
      <c r="M232" s="18"/>
      <c r="N232" s="19">
        <v>60</v>
      </c>
      <c r="O232" s="18"/>
      <c r="P232" s="18"/>
      <c r="Q232" s="18"/>
      <c r="R232" s="18"/>
      <c r="S232" s="18"/>
      <c r="T232" s="18"/>
      <c r="U232" s="128" t="s">
        <v>797</v>
      </c>
      <c r="V232" s="129"/>
      <c r="W232" s="129"/>
      <c r="X232" s="129"/>
      <c r="Y232" s="129"/>
      <c r="Z232" s="129"/>
      <c r="AA232" s="129"/>
      <c r="AB232" s="129"/>
      <c r="AC232" s="130"/>
      <c r="AD232" s="44">
        <f>N232</f>
        <v>60</v>
      </c>
    </row>
    <row r="233" spans="2:30" ht="157.5" x14ac:dyDescent="0.25">
      <c r="B233" s="8" t="s">
        <v>602</v>
      </c>
      <c r="C233" s="8" t="s">
        <v>603</v>
      </c>
      <c r="D233" s="8" t="s">
        <v>116</v>
      </c>
      <c r="E233" s="18"/>
      <c r="F233" s="18"/>
      <c r="G233" s="18"/>
      <c r="H233" s="18"/>
      <c r="I233" s="18"/>
      <c r="J233" s="18"/>
      <c r="K233" s="22"/>
      <c r="L233" s="18"/>
      <c r="M233" s="18"/>
      <c r="N233" s="18"/>
      <c r="O233" s="18"/>
      <c r="P233" s="18"/>
      <c r="Q233" s="18"/>
      <c r="R233" s="18"/>
      <c r="S233" s="18"/>
      <c r="T233" s="25">
        <f>9.84*24</f>
        <v>236.16</v>
      </c>
      <c r="U233" s="128" t="s">
        <v>796</v>
      </c>
      <c r="V233" s="129"/>
      <c r="W233" s="129"/>
      <c r="X233" s="129"/>
      <c r="Y233" s="129"/>
      <c r="Z233" s="129"/>
      <c r="AA233" s="129"/>
      <c r="AB233" s="129"/>
      <c r="AC233" s="130"/>
      <c r="AD233" s="44">
        <f>T233</f>
        <v>236.16</v>
      </c>
    </row>
    <row r="234" spans="2:30" ht="94.5" x14ac:dyDescent="0.25">
      <c r="B234" s="8" t="s">
        <v>604</v>
      </c>
      <c r="C234" s="8" t="s">
        <v>605</v>
      </c>
      <c r="D234" s="8" t="s">
        <v>606</v>
      </c>
      <c r="E234" s="72">
        <v>150</v>
      </c>
      <c r="F234" s="18"/>
      <c r="G234" s="19">
        <v>60</v>
      </c>
      <c r="H234" s="18"/>
      <c r="I234" s="16">
        <v>89</v>
      </c>
      <c r="J234" s="18"/>
      <c r="K234" s="18"/>
      <c r="L234" s="18"/>
      <c r="M234" s="18"/>
      <c r="N234" s="18"/>
      <c r="O234" s="18"/>
      <c r="P234" s="18"/>
      <c r="Q234" s="72">
        <v>20</v>
      </c>
      <c r="R234" s="18"/>
      <c r="S234" s="18"/>
      <c r="T234" s="18"/>
      <c r="U234" s="67">
        <f>AVERAGE(E234,G234,I234,Q234)</f>
        <v>79.75</v>
      </c>
      <c r="V234" s="67">
        <f>_xlfn.STDEV.P(E234,G234,I234,Q234)</f>
        <v>47.383409543847726</v>
      </c>
      <c r="W234" s="68">
        <f t="shared" ref="W234" si="445">U234-V234</f>
        <v>32.366590456152274</v>
      </c>
      <c r="X234" s="68">
        <f t="shared" ref="X234" si="446">U234+V234</f>
        <v>127.13340954384773</v>
      </c>
      <c r="Y234" s="69">
        <f>AVERAGE(G234,I234)</f>
        <v>74.5</v>
      </c>
      <c r="Z234" s="69">
        <f>MEDIAN(G234,I234)</f>
        <v>74.5</v>
      </c>
      <c r="AA234" s="70">
        <f>_xlfn.STDEV.P(G234,I234)</f>
        <v>14.5</v>
      </c>
      <c r="AB234" s="71">
        <f t="shared" ref="AB234" si="447">AA234/Y234</f>
        <v>0.19463087248322147</v>
      </c>
      <c r="AC234" s="70" t="str">
        <f t="shared" ref="AC234" si="448">IF(AB234&lt;25%,"Média",IF(AB234&gt;=25%,"Mediana"))</f>
        <v>Média</v>
      </c>
      <c r="AD234" s="44">
        <f>Y234</f>
        <v>74.5</v>
      </c>
    </row>
    <row r="235" spans="2:30" ht="94.5" x14ac:dyDescent="0.25">
      <c r="B235" s="8" t="s">
        <v>733</v>
      </c>
      <c r="C235" s="8" t="s">
        <v>605</v>
      </c>
      <c r="D235" s="8" t="s">
        <v>606</v>
      </c>
      <c r="E235" s="72">
        <v>150</v>
      </c>
      <c r="F235" s="18"/>
      <c r="G235" s="19">
        <v>60</v>
      </c>
      <c r="H235" s="18"/>
      <c r="I235" s="16">
        <v>89</v>
      </c>
      <c r="J235" s="18"/>
      <c r="K235" s="18"/>
      <c r="L235" s="18"/>
      <c r="M235" s="18"/>
      <c r="N235" s="18"/>
      <c r="O235" s="18"/>
      <c r="P235" s="18"/>
      <c r="Q235" s="19">
        <v>20</v>
      </c>
      <c r="R235" s="18"/>
      <c r="S235" s="18"/>
      <c r="T235" s="18"/>
      <c r="U235" s="67">
        <f>AVERAGE(E235,G235,I235,Q235)</f>
        <v>79.75</v>
      </c>
      <c r="V235" s="67">
        <f>_xlfn.STDEV.P(E235,G235,I235,Q235)</f>
        <v>47.383409543847726</v>
      </c>
      <c r="W235" s="68">
        <f t="shared" ref="W235" si="449">U235-V235</f>
        <v>32.366590456152274</v>
      </c>
      <c r="X235" s="68">
        <f t="shared" ref="X235" si="450">U235+V235</f>
        <v>127.13340954384773</v>
      </c>
      <c r="Y235" s="69">
        <f>AVERAGE(G235,I235)</f>
        <v>74.5</v>
      </c>
      <c r="Z235" s="69">
        <f>MEDIAN(G235,I235)</f>
        <v>74.5</v>
      </c>
      <c r="AA235" s="70">
        <f>_xlfn.STDEV.P(G235,I235)</f>
        <v>14.5</v>
      </c>
      <c r="AB235" s="71">
        <f t="shared" ref="AB235" si="451">AA235/Y235</f>
        <v>0.19463087248322147</v>
      </c>
      <c r="AC235" s="70" t="str">
        <f t="shared" ref="AC235" si="452">IF(AB235&lt;25%,"Média",IF(AB235&gt;=25%,"Mediana"))</f>
        <v>Média</v>
      </c>
      <c r="AD235" s="44">
        <f>Y235</f>
        <v>74.5</v>
      </c>
    </row>
    <row r="236" spans="2:30" ht="78.75" x14ac:dyDescent="0.25">
      <c r="B236" s="8" t="s">
        <v>608</v>
      </c>
      <c r="C236" s="8" t="s">
        <v>609</v>
      </c>
      <c r="D236" s="8" t="s">
        <v>357</v>
      </c>
      <c r="E236" s="18"/>
      <c r="F236" s="18"/>
      <c r="G236" s="18"/>
      <c r="H236" s="18"/>
      <c r="I236" s="18"/>
      <c r="J236" s="18"/>
      <c r="K236" s="18"/>
      <c r="L236" s="18"/>
      <c r="M236" s="18"/>
      <c r="N236" s="19">
        <v>3.5</v>
      </c>
      <c r="O236" s="18"/>
      <c r="P236" s="18"/>
      <c r="Q236" s="18"/>
      <c r="R236" s="18"/>
      <c r="S236" s="18"/>
      <c r="T236" s="18"/>
      <c r="U236" s="128" t="s">
        <v>796</v>
      </c>
      <c r="V236" s="129"/>
      <c r="W236" s="129"/>
      <c r="X236" s="129"/>
      <c r="Y236" s="129"/>
      <c r="Z236" s="129"/>
      <c r="AA236" s="129"/>
      <c r="AB236" s="129"/>
      <c r="AC236" s="130"/>
      <c r="AD236" s="44">
        <f>N236</f>
        <v>3.5</v>
      </c>
    </row>
    <row r="237" spans="2:30" ht="78.75" x14ac:dyDescent="0.25">
      <c r="B237" s="8" t="s">
        <v>611</v>
      </c>
      <c r="C237" s="8" t="s">
        <v>383</v>
      </c>
      <c r="D237" s="8" t="s">
        <v>116</v>
      </c>
      <c r="E237" s="18"/>
      <c r="F237" s="18"/>
      <c r="G237" s="18"/>
      <c r="H237" s="18"/>
      <c r="I237" s="18"/>
      <c r="J237" s="18"/>
      <c r="K237" s="18"/>
      <c r="L237" s="18"/>
      <c r="M237" s="18"/>
      <c r="N237" s="18"/>
      <c r="O237" s="18"/>
      <c r="P237" s="18"/>
      <c r="Q237" s="18"/>
      <c r="R237" s="19">
        <v>250</v>
      </c>
      <c r="S237" s="18"/>
      <c r="T237" s="18"/>
      <c r="U237" s="128" t="s">
        <v>799</v>
      </c>
      <c r="V237" s="129"/>
      <c r="W237" s="129"/>
      <c r="X237" s="129"/>
      <c r="Y237" s="129"/>
      <c r="Z237" s="129"/>
      <c r="AA237" s="129"/>
      <c r="AB237" s="129"/>
      <c r="AC237" s="130"/>
      <c r="AD237" s="44">
        <f>R237</f>
        <v>250</v>
      </c>
    </row>
    <row r="238" spans="2:30" ht="31.5" x14ac:dyDescent="0.25">
      <c r="B238" s="8" t="s">
        <v>380</v>
      </c>
      <c r="C238" s="8" t="s">
        <v>404</v>
      </c>
      <c r="D238" s="8" t="s">
        <v>371</v>
      </c>
      <c r="E238" s="19">
        <v>130</v>
      </c>
      <c r="F238" s="36">
        <v>550</v>
      </c>
      <c r="G238" s="36">
        <v>210</v>
      </c>
      <c r="H238" s="36">
        <v>500</v>
      </c>
      <c r="I238" s="36">
        <v>288</v>
      </c>
      <c r="J238" s="18"/>
      <c r="K238" s="18"/>
      <c r="L238" s="18"/>
      <c r="M238" s="18"/>
      <c r="N238" s="18"/>
      <c r="O238" s="18"/>
      <c r="P238" s="18"/>
      <c r="Q238" s="18"/>
      <c r="R238" s="18"/>
      <c r="S238" s="18"/>
      <c r="T238" s="18"/>
      <c r="U238" s="128" t="s">
        <v>821</v>
      </c>
      <c r="V238" s="129"/>
      <c r="W238" s="129"/>
      <c r="X238" s="129"/>
      <c r="Y238" s="129"/>
      <c r="Z238" s="129"/>
      <c r="AA238" s="129"/>
      <c r="AB238" s="129"/>
      <c r="AC238" s="130"/>
      <c r="AD238" s="44">
        <f>E238</f>
        <v>130</v>
      </c>
    </row>
    <row r="239" spans="2:30" ht="47.25" x14ac:dyDescent="0.25">
      <c r="B239" s="8" t="s">
        <v>682</v>
      </c>
      <c r="C239" s="8" t="s">
        <v>683</v>
      </c>
      <c r="D239" s="8" t="s">
        <v>116</v>
      </c>
      <c r="E239" s="18"/>
      <c r="F239" s="36">
        <v>715</v>
      </c>
      <c r="G239" s="36">
        <v>800</v>
      </c>
      <c r="H239" s="19">
        <v>650</v>
      </c>
      <c r="I239" s="18"/>
      <c r="J239" s="18"/>
      <c r="K239" s="18"/>
      <c r="L239" s="18"/>
      <c r="M239" s="18"/>
      <c r="N239" s="18"/>
      <c r="O239" s="18"/>
      <c r="P239" s="18"/>
      <c r="Q239" s="18"/>
      <c r="R239" s="18"/>
      <c r="S239" s="18"/>
      <c r="T239" s="18"/>
      <c r="U239" s="128" t="s">
        <v>821</v>
      </c>
      <c r="V239" s="129"/>
      <c r="W239" s="129"/>
      <c r="X239" s="129"/>
      <c r="Y239" s="129"/>
      <c r="Z239" s="129"/>
      <c r="AA239" s="129"/>
      <c r="AB239" s="129"/>
      <c r="AC239" s="130"/>
      <c r="AD239" s="44">
        <f>H239</f>
        <v>650</v>
      </c>
    </row>
    <row r="240" spans="2:30" ht="78.75" x14ac:dyDescent="0.25">
      <c r="B240" s="8" t="s">
        <v>355</v>
      </c>
      <c r="C240" s="8" t="s">
        <v>685</v>
      </c>
      <c r="D240" s="35" t="s">
        <v>116</v>
      </c>
      <c r="E240" s="18"/>
      <c r="F240" s="36">
        <v>220</v>
      </c>
      <c r="G240" s="36">
        <v>1400</v>
      </c>
      <c r="H240" s="18"/>
      <c r="I240" s="18"/>
      <c r="J240" s="18"/>
      <c r="K240" s="19">
        <v>50</v>
      </c>
      <c r="L240" s="18"/>
      <c r="M240" s="18"/>
      <c r="N240" s="18"/>
      <c r="O240" s="18"/>
      <c r="P240" s="18"/>
      <c r="Q240" s="18"/>
      <c r="R240" s="18"/>
      <c r="S240" s="18"/>
      <c r="T240" s="18"/>
      <c r="U240" s="128" t="s">
        <v>821</v>
      </c>
      <c r="V240" s="129"/>
      <c r="W240" s="129"/>
      <c r="X240" s="129"/>
      <c r="Y240" s="129"/>
      <c r="Z240" s="129"/>
      <c r="AA240" s="129"/>
      <c r="AB240" s="129"/>
      <c r="AC240" s="130"/>
      <c r="AD240" s="44">
        <f>K240</f>
        <v>50</v>
      </c>
    </row>
    <row r="241" spans="2:30" ht="31.5" x14ac:dyDescent="0.25">
      <c r="B241" s="8" t="s">
        <v>355</v>
      </c>
      <c r="C241" s="8" t="s">
        <v>356</v>
      </c>
      <c r="D241" s="8" t="s">
        <v>357</v>
      </c>
      <c r="E241" s="18"/>
      <c r="F241" s="18"/>
      <c r="G241" s="18"/>
      <c r="H241" s="18"/>
      <c r="I241" s="18"/>
      <c r="J241" s="18"/>
      <c r="K241" s="18"/>
      <c r="L241" s="18"/>
      <c r="M241" s="18"/>
      <c r="N241" s="16">
        <v>8</v>
      </c>
      <c r="O241" s="18"/>
      <c r="P241" s="18"/>
      <c r="Q241" s="18"/>
      <c r="R241" s="18"/>
      <c r="S241" s="18"/>
      <c r="T241" s="18"/>
      <c r="U241" s="128" t="s">
        <v>796</v>
      </c>
      <c r="V241" s="129"/>
      <c r="W241" s="129"/>
      <c r="X241" s="129"/>
      <c r="Y241" s="129"/>
      <c r="Z241" s="129"/>
      <c r="AA241" s="129"/>
      <c r="AB241" s="129"/>
      <c r="AC241" s="130"/>
      <c r="AD241" s="44">
        <f>N241</f>
        <v>8</v>
      </c>
    </row>
    <row r="242" spans="2:30" ht="78.75" x14ac:dyDescent="0.25">
      <c r="B242" s="8" t="s">
        <v>382</v>
      </c>
      <c r="C242" s="8" t="s">
        <v>383</v>
      </c>
      <c r="D242" s="8" t="s">
        <v>116</v>
      </c>
      <c r="E242" s="18"/>
      <c r="F242" s="18"/>
      <c r="G242" s="18"/>
      <c r="H242" s="18"/>
      <c r="I242" s="18"/>
      <c r="J242" s="18"/>
      <c r="K242" s="18"/>
      <c r="L242" s="18"/>
      <c r="M242" s="18"/>
      <c r="N242" s="18"/>
      <c r="O242" s="18"/>
      <c r="P242" s="18"/>
      <c r="Q242" s="18"/>
      <c r="R242" s="18"/>
      <c r="S242" s="18"/>
      <c r="T242" s="19">
        <v>150.05000000000001</v>
      </c>
      <c r="U242" s="128" t="s">
        <v>796</v>
      </c>
      <c r="V242" s="129"/>
      <c r="W242" s="129"/>
      <c r="X242" s="129"/>
      <c r="Y242" s="129"/>
      <c r="Z242" s="129"/>
      <c r="AA242" s="129"/>
      <c r="AB242" s="129"/>
      <c r="AC242" s="130"/>
      <c r="AD242" s="44">
        <f>T242</f>
        <v>150.05000000000001</v>
      </c>
    </row>
    <row r="243" spans="2:30" ht="31.5" x14ac:dyDescent="0.25">
      <c r="B243" s="8" t="s">
        <v>614</v>
      </c>
      <c r="C243" s="8" t="s">
        <v>615</v>
      </c>
      <c r="D243" s="8" t="s">
        <v>116</v>
      </c>
      <c r="E243" s="18"/>
      <c r="F243" s="18"/>
      <c r="G243" s="72">
        <v>5.0999999999999996</v>
      </c>
      <c r="H243" s="18"/>
      <c r="I243" s="36">
        <v>175</v>
      </c>
      <c r="J243" s="36">
        <f>252</f>
        <v>252</v>
      </c>
      <c r="K243" s="18"/>
      <c r="L243" s="18"/>
      <c r="M243" s="18"/>
      <c r="N243" s="19">
        <v>73.8</v>
      </c>
      <c r="O243" s="18"/>
      <c r="P243" s="18"/>
      <c r="Q243" s="72">
        <v>90</v>
      </c>
      <c r="R243" s="18"/>
      <c r="S243" s="74">
        <v>50</v>
      </c>
      <c r="T243" s="18"/>
      <c r="U243" s="67">
        <f>AVERAGE(G243,N243,Q243,S243)</f>
        <v>54.724999999999994</v>
      </c>
      <c r="V243" s="67">
        <f>_xlfn.STDEV.P(G243,N243,Q243,S243)</f>
        <v>31.988855481245352</v>
      </c>
      <c r="W243" s="68">
        <f t="shared" ref="W243" si="453">U243-V243</f>
        <v>22.736144518754642</v>
      </c>
      <c r="X243" s="68">
        <f t="shared" ref="X243" si="454">U243+V243</f>
        <v>86.713855481245346</v>
      </c>
      <c r="Y243" s="69">
        <f>AVERAGE(N243,S243)</f>
        <v>61.9</v>
      </c>
      <c r="Z243" s="69">
        <f>MEDIAN(N243,S243)</f>
        <v>61.9</v>
      </c>
      <c r="AA243" s="70">
        <f>_xlfn.STDEV.P(N243,S243)</f>
        <v>11.900000000000006</v>
      </c>
      <c r="AB243" s="71">
        <f t="shared" ref="AB243" si="455">AA243/Y243</f>
        <v>0.19224555735056553</v>
      </c>
      <c r="AC243" s="70" t="str">
        <f t="shared" ref="AC243" si="456">IF(AB243&lt;25%,"Média",IF(AB243&gt;=25%,"Mediana"))</f>
        <v>Média</v>
      </c>
      <c r="AD243" s="19">
        <f>Y243</f>
        <v>61.9</v>
      </c>
    </row>
    <row r="244" spans="2:30" ht="15.75" x14ac:dyDescent="0.25">
      <c r="B244" s="8"/>
      <c r="C244" s="8"/>
      <c r="D244" s="8"/>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row>
    <row r="245" spans="2:30" ht="15.75" x14ac:dyDescent="0.25">
      <c r="B245" s="31"/>
      <c r="C245" s="31"/>
      <c r="D245" s="31"/>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row>
    <row r="246" spans="2:30" ht="47.25" x14ac:dyDescent="0.25">
      <c r="B246" s="8" t="s">
        <v>616</v>
      </c>
      <c r="C246" s="8" t="s">
        <v>390</v>
      </c>
      <c r="D246" s="8" t="s">
        <v>70</v>
      </c>
      <c r="E246" s="36">
        <v>15</v>
      </c>
      <c r="F246" s="18"/>
      <c r="G246" s="36">
        <v>250</v>
      </c>
      <c r="H246" s="18"/>
      <c r="I246" s="18"/>
      <c r="J246" s="36">
        <v>30</v>
      </c>
      <c r="K246" s="18"/>
      <c r="L246" s="72">
        <v>2</v>
      </c>
      <c r="M246" s="19">
        <v>5</v>
      </c>
      <c r="N246" s="19">
        <v>5</v>
      </c>
      <c r="O246" s="72">
        <v>10</v>
      </c>
      <c r="P246" s="20">
        <v>5</v>
      </c>
      <c r="Q246" s="18"/>
      <c r="R246" s="18"/>
      <c r="S246" s="18"/>
      <c r="T246" s="18"/>
      <c r="U246" s="67">
        <f>AVERAGE(L246:P246)</f>
        <v>5.4</v>
      </c>
      <c r="V246" s="67">
        <f>_xlfn.STDEV.P(L246:P246)</f>
        <v>2.5768197453450252</v>
      </c>
      <c r="W246" s="68">
        <f t="shared" ref="W246" si="457">U246-V246</f>
        <v>2.8231802546549751</v>
      </c>
      <c r="X246" s="68">
        <f t="shared" ref="X246" si="458">U246+V246</f>
        <v>7.9768197453450256</v>
      </c>
      <c r="Y246" s="69">
        <f>AVERAGE(M246:N246,P246)</f>
        <v>5</v>
      </c>
      <c r="Z246" s="69">
        <f>MEDIAN(M246:N246,P246)</f>
        <v>5</v>
      </c>
      <c r="AA246" s="70">
        <f>_xlfn.STDEV.P(M246:N246,P246)</f>
        <v>0</v>
      </c>
      <c r="AB246" s="71">
        <f t="shared" ref="AB246" si="459">AA246/Y246</f>
        <v>0</v>
      </c>
      <c r="AC246" s="70" t="str">
        <f t="shared" ref="AC246" si="460">IF(AB246&lt;25%,"Média",IF(AB246&gt;=25%,"Mediana"))</f>
        <v>Média</v>
      </c>
      <c r="AD246" s="44">
        <f>Y246</f>
        <v>5</v>
      </c>
    </row>
    <row r="247" spans="2:30" ht="47.25" x14ac:dyDescent="0.25">
      <c r="B247" s="8" t="s">
        <v>386</v>
      </c>
      <c r="C247" s="8" t="s">
        <v>387</v>
      </c>
      <c r="D247" s="8" t="s">
        <v>12</v>
      </c>
      <c r="E247" s="18"/>
      <c r="F247" s="18"/>
      <c r="G247" s="18"/>
      <c r="H247" s="18"/>
      <c r="I247" s="18"/>
      <c r="J247" s="18"/>
      <c r="K247" s="18"/>
      <c r="L247" s="18"/>
      <c r="M247" s="72">
        <v>30</v>
      </c>
      <c r="N247" s="18"/>
      <c r="O247" s="18"/>
      <c r="P247" s="19">
        <v>20</v>
      </c>
      <c r="Q247" s="72">
        <v>8</v>
      </c>
      <c r="R247" s="18"/>
      <c r="S247" s="19">
        <v>10.73</v>
      </c>
      <c r="T247" s="18"/>
      <c r="U247" s="67">
        <f>AVERAGE(M247,P247:Q247,S247)</f>
        <v>17.182500000000001</v>
      </c>
      <c r="V247" s="67">
        <f>_xlfn.STDEV.P(M247,P247:Q247,S247)</f>
        <v>8.6339399320356609</v>
      </c>
      <c r="W247" s="68">
        <f t="shared" ref="W247" si="461">U247-V247</f>
        <v>8.5485600679643401</v>
      </c>
      <c r="X247" s="68">
        <f t="shared" ref="X247" si="462">U247+V247</f>
        <v>25.816439932035664</v>
      </c>
      <c r="Y247" s="69">
        <f>AVERAGE(P247,S247)</f>
        <v>15.365</v>
      </c>
      <c r="Z247" s="69">
        <f>MEDIAN(P247,S247)</f>
        <v>15.365</v>
      </c>
      <c r="AA247" s="70">
        <f>_xlfn.STDEV.P(P247,S247)</f>
        <v>4.6350000000000033</v>
      </c>
      <c r="AB247" s="71">
        <f t="shared" ref="AB247" si="463">AA247/Y247</f>
        <v>0.30165961601041347</v>
      </c>
      <c r="AC247" s="70" t="str">
        <f t="shared" ref="AC247" si="464">IF(AB247&lt;25%,"Média",IF(AB247&gt;=25%,"Mediana"))</f>
        <v>Mediana</v>
      </c>
      <c r="AD247" s="44">
        <f>Z247</f>
        <v>15.365</v>
      </c>
    </row>
    <row r="248" spans="2:30" ht="47.25" x14ac:dyDescent="0.25">
      <c r="B248" s="8" t="s">
        <v>389</v>
      </c>
      <c r="C248" s="8" t="s">
        <v>390</v>
      </c>
      <c r="D248" s="8" t="s">
        <v>70</v>
      </c>
      <c r="E248" s="72">
        <v>15</v>
      </c>
      <c r="F248" s="18"/>
      <c r="G248" s="36">
        <v>250</v>
      </c>
      <c r="H248" s="18"/>
      <c r="I248" s="18"/>
      <c r="J248" s="36">
        <v>30</v>
      </c>
      <c r="K248" s="18"/>
      <c r="L248" s="72">
        <v>2</v>
      </c>
      <c r="M248" s="19">
        <v>5</v>
      </c>
      <c r="N248" s="19">
        <v>5</v>
      </c>
      <c r="O248" s="20">
        <v>10</v>
      </c>
      <c r="P248" s="18"/>
      <c r="Q248" s="18"/>
      <c r="R248" s="18"/>
      <c r="S248" s="18"/>
      <c r="T248" s="18"/>
      <c r="U248" s="67">
        <f>AVERAGE(E248,L248:O248)</f>
        <v>7.4</v>
      </c>
      <c r="V248" s="67">
        <f>_xlfn.STDEV.P(E248,L248:O248)</f>
        <v>4.5869379764718863</v>
      </c>
      <c r="W248" s="68">
        <f t="shared" ref="W248" si="465">U248-V248</f>
        <v>2.8130620235281141</v>
      </c>
      <c r="X248" s="68">
        <f t="shared" ref="X248" si="466">U248+V248</f>
        <v>11.986937976471886</v>
      </c>
      <c r="Y248" s="69">
        <f>AVERAGE(M248:O248)</f>
        <v>6.666666666666667</v>
      </c>
      <c r="Z248" s="69">
        <f>MEDIAN(M248:O248)</f>
        <v>5</v>
      </c>
      <c r="AA248" s="70">
        <f>_xlfn.STDEV.P(M248:O248)</f>
        <v>2.3570226039551585</v>
      </c>
      <c r="AB248" s="71">
        <f t="shared" ref="AB248" si="467">AA248/Y248</f>
        <v>0.35355339059327379</v>
      </c>
      <c r="AC248" s="70" t="str">
        <f t="shared" ref="AC248" si="468">IF(AB248&lt;25%,"Média",IF(AB248&gt;=25%,"Mediana"))</f>
        <v>Mediana</v>
      </c>
      <c r="AD248" s="44">
        <f>Z248</f>
        <v>5</v>
      </c>
    </row>
    <row r="249" spans="2:30" ht="15.75" x14ac:dyDescent="0.25">
      <c r="B249" s="8"/>
      <c r="C249" s="8"/>
      <c r="D249" s="8"/>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row>
    <row r="250" spans="2:30" ht="15.75" x14ac:dyDescent="0.25">
      <c r="B250" s="31"/>
      <c r="C250" s="31"/>
      <c r="D250" s="31"/>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row>
    <row r="251" spans="2:30" ht="94.5" x14ac:dyDescent="0.25">
      <c r="B251" s="8" t="s">
        <v>617</v>
      </c>
      <c r="C251" s="8" t="s">
        <v>618</v>
      </c>
      <c r="D251" s="8" t="s">
        <v>619</v>
      </c>
      <c r="E251" s="18"/>
      <c r="F251" s="18"/>
      <c r="G251" s="18"/>
      <c r="H251" s="18"/>
      <c r="I251" s="18"/>
      <c r="J251" s="18"/>
      <c r="K251" s="18"/>
      <c r="L251" s="18"/>
      <c r="M251" s="18"/>
      <c r="N251" s="19">
        <f>400*8</f>
        <v>3200</v>
      </c>
      <c r="O251" s="18"/>
      <c r="P251" s="18"/>
      <c r="Q251" s="18"/>
      <c r="R251" s="18"/>
      <c r="S251" s="18"/>
      <c r="T251" s="18"/>
      <c r="U251" s="128" t="s">
        <v>796</v>
      </c>
      <c r="V251" s="129"/>
      <c r="W251" s="129"/>
      <c r="X251" s="129"/>
      <c r="Y251" s="129"/>
      <c r="Z251" s="129"/>
      <c r="AA251" s="129"/>
      <c r="AB251" s="129"/>
      <c r="AC251" s="130"/>
      <c r="AD251" s="44">
        <f>N251</f>
        <v>3200</v>
      </c>
    </row>
    <row r="252" spans="2:30" ht="94.5" x14ac:dyDescent="0.25">
      <c r="B252" s="8" t="s">
        <v>621</v>
      </c>
      <c r="C252" s="8" t="s">
        <v>618</v>
      </c>
      <c r="D252" s="8" t="s">
        <v>619</v>
      </c>
      <c r="E252" s="18"/>
      <c r="F252" s="36">
        <v>3850</v>
      </c>
      <c r="G252" s="19">
        <v>2100</v>
      </c>
      <c r="H252" s="36">
        <v>3500</v>
      </c>
      <c r="I252" s="36">
        <v>2850</v>
      </c>
      <c r="J252" s="18"/>
      <c r="K252" s="18"/>
      <c r="L252" s="18"/>
      <c r="M252" s="18"/>
      <c r="N252" s="18"/>
      <c r="O252" s="18"/>
      <c r="P252" s="18"/>
      <c r="Q252" s="18"/>
      <c r="R252" s="18"/>
      <c r="S252" s="18"/>
      <c r="T252" s="18"/>
      <c r="U252" s="128" t="s">
        <v>821</v>
      </c>
      <c r="V252" s="129"/>
      <c r="W252" s="129"/>
      <c r="X252" s="129"/>
      <c r="Y252" s="129"/>
      <c r="Z252" s="129"/>
      <c r="AA252" s="129"/>
      <c r="AB252" s="129"/>
      <c r="AC252" s="130"/>
      <c r="AD252" s="44">
        <f>G252</f>
        <v>2100</v>
      </c>
    </row>
    <row r="253" spans="2:30" ht="94.5" x14ac:dyDescent="0.25">
      <c r="B253" s="8" t="s">
        <v>623</v>
      </c>
      <c r="C253" s="8" t="s">
        <v>618</v>
      </c>
      <c r="D253" s="8" t="s">
        <v>619</v>
      </c>
      <c r="E253" s="18"/>
      <c r="F253" s="36">
        <v>3300</v>
      </c>
      <c r="G253" s="19">
        <v>2100</v>
      </c>
      <c r="H253" s="36">
        <v>3000</v>
      </c>
      <c r="I253" s="36">
        <v>2500</v>
      </c>
      <c r="J253" s="18"/>
      <c r="K253" s="18"/>
      <c r="L253" s="18"/>
      <c r="M253" s="18"/>
      <c r="N253" s="18"/>
      <c r="O253" s="18"/>
      <c r="P253" s="18"/>
      <c r="Q253" s="18"/>
      <c r="R253" s="18"/>
      <c r="S253" s="18"/>
      <c r="T253" s="18"/>
      <c r="U253" s="128" t="s">
        <v>821</v>
      </c>
      <c r="V253" s="129"/>
      <c r="W253" s="129"/>
      <c r="X253" s="129"/>
      <c r="Y253" s="129"/>
      <c r="Z253" s="129"/>
      <c r="AA253" s="129"/>
      <c r="AB253" s="129"/>
      <c r="AC253" s="130"/>
      <c r="AD253" s="44">
        <f>G253</f>
        <v>2100</v>
      </c>
    </row>
    <row r="254" spans="2:30" ht="94.5" x14ac:dyDescent="0.25">
      <c r="B254" s="8" t="s">
        <v>625</v>
      </c>
      <c r="C254" s="8" t="s">
        <v>618</v>
      </c>
      <c r="D254" s="8" t="s">
        <v>619</v>
      </c>
      <c r="E254" s="18"/>
      <c r="F254" s="36">
        <v>2200</v>
      </c>
      <c r="G254" s="19">
        <v>520</v>
      </c>
      <c r="H254" s="36">
        <v>2000</v>
      </c>
      <c r="I254" s="36">
        <v>1450</v>
      </c>
      <c r="J254" s="18"/>
      <c r="K254" s="18"/>
      <c r="L254" s="18"/>
      <c r="M254" s="18"/>
      <c r="N254" s="18"/>
      <c r="O254" s="18"/>
      <c r="P254" s="18"/>
      <c r="Q254" s="18"/>
      <c r="R254" s="18"/>
      <c r="S254" s="18"/>
      <c r="T254" s="18"/>
      <c r="U254" s="128" t="s">
        <v>821</v>
      </c>
      <c r="V254" s="129"/>
      <c r="W254" s="129"/>
      <c r="X254" s="129"/>
      <c r="Y254" s="129"/>
      <c r="Z254" s="129"/>
      <c r="AA254" s="129"/>
      <c r="AB254" s="129"/>
      <c r="AC254" s="130"/>
      <c r="AD254" s="44">
        <f>G254</f>
        <v>520</v>
      </c>
    </row>
    <row r="255" spans="2:30" ht="204.75" x14ac:dyDescent="0.25">
      <c r="B255" s="8" t="s">
        <v>393</v>
      </c>
      <c r="C255" s="8" t="s">
        <v>627</v>
      </c>
      <c r="D255" s="8" t="s">
        <v>7</v>
      </c>
      <c r="E255" s="18"/>
      <c r="F255" s="18"/>
      <c r="G255" s="18"/>
      <c r="H255" s="18"/>
      <c r="I255" s="18"/>
      <c r="J255" s="18"/>
      <c r="K255" s="18"/>
      <c r="L255" s="18"/>
      <c r="M255" s="72">
        <v>1000</v>
      </c>
      <c r="N255" s="19">
        <v>800</v>
      </c>
      <c r="O255" s="18"/>
      <c r="P255" s="25">
        <v>800</v>
      </c>
      <c r="Q255" s="27"/>
      <c r="R255" s="25">
        <v>800</v>
      </c>
      <c r="S255" s="18"/>
      <c r="T255" s="18"/>
      <c r="U255" s="67">
        <f>AVERAGE(M255:N255,P255,R255)</f>
        <v>850</v>
      </c>
      <c r="V255" s="67">
        <f>_xlfn.STDEV.P(M255:N255,P255,R255)</f>
        <v>86.602540378443862</v>
      </c>
      <c r="W255" s="68">
        <f t="shared" ref="W255" si="469">U255-V255</f>
        <v>763.3974596215561</v>
      </c>
      <c r="X255" s="68">
        <f t="shared" ref="X255" si="470">U255+V255</f>
        <v>936.6025403784439</v>
      </c>
      <c r="Y255" s="69">
        <f>AVERAGE(N255,P255,R255)</f>
        <v>800</v>
      </c>
      <c r="Z255" s="69">
        <f>MEDIAN(N255,P255,R255)</f>
        <v>800</v>
      </c>
      <c r="AA255" s="70">
        <f>_xlfn.STDEV.P(N255,P255,R255)</f>
        <v>0</v>
      </c>
      <c r="AB255" s="71">
        <f t="shared" ref="AB255" si="471">AA255/Y255</f>
        <v>0</v>
      </c>
      <c r="AC255" s="70" t="str">
        <f t="shared" ref="AC255" si="472">IF(AB255&lt;25%,"Média",IF(AB255&gt;=25%,"Mediana"))</f>
        <v>Média</v>
      </c>
      <c r="AD255" s="44">
        <f>Y255</f>
        <v>800</v>
      </c>
    </row>
    <row r="256" spans="2:30" ht="204.75" x14ac:dyDescent="0.25">
      <c r="B256" s="8" t="s">
        <v>393</v>
      </c>
      <c r="C256" s="8" t="s">
        <v>627</v>
      </c>
      <c r="D256" s="8" t="s">
        <v>619</v>
      </c>
      <c r="E256" s="18"/>
      <c r="F256" s="18"/>
      <c r="G256" s="18"/>
      <c r="H256" s="18"/>
      <c r="I256" s="18"/>
      <c r="J256" s="18"/>
      <c r="K256" s="18"/>
      <c r="L256" s="18"/>
      <c r="M256" s="18"/>
      <c r="N256" s="25">
        <f>800*8</f>
        <v>6400</v>
      </c>
      <c r="O256" s="18"/>
      <c r="P256" s="18"/>
      <c r="Q256" s="18"/>
      <c r="R256" s="18"/>
      <c r="S256" s="18"/>
      <c r="T256" s="18"/>
      <c r="U256" s="128" t="s">
        <v>796</v>
      </c>
      <c r="V256" s="129"/>
      <c r="W256" s="129"/>
      <c r="X256" s="129"/>
      <c r="Y256" s="129"/>
      <c r="Z256" s="129"/>
      <c r="AA256" s="129"/>
      <c r="AB256" s="129"/>
      <c r="AC256" s="130"/>
      <c r="AD256" s="25">
        <f>N256</f>
        <v>6400</v>
      </c>
    </row>
    <row r="257" spans="2:30" ht="204.75" x14ac:dyDescent="0.25">
      <c r="B257" s="8" t="s">
        <v>393</v>
      </c>
      <c r="C257" s="8" t="s">
        <v>394</v>
      </c>
      <c r="D257" s="8" t="s">
        <v>395</v>
      </c>
      <c r="E257" s="18"/>
      <c r="F257" s="18"/>
      <c r="G257" s="18"/>
      <c r="H257" s="18"/>
      <c r="I257" s="18"/>
      <c r="J257" s="18"/>
      <c r="K257" s="18"/>
      <c r="L257" s="18"/>
      <c r="M257" s="72">
        <v>1000</v>
      </c>
      <c r="N257" s="19">
        <v>800</v>
      </c>
      <c r="O257" s="18"/>
      <c r="P257" s="25">
        <v>800</v>
      </c>
      <c r="Q257" s="27"/>
      <c r="R257" s="25">
        <v>800</v>
      </c>
      <c r="S257" s="27"/>
      <c r="T257" s="27"/>
      <c r="U257" s="67">
        <f>AVERAGE(M257:N257,P257,R257)</f>
        <v>850</v>
      </c>
      <c r="V257" s="67">
        <f>_xlfn.STDEV.P(M257:N257,P257,R257)</f>
        <v>86.602540378443862</v>
      </c>
      <c r="W257" s="68">
        <f t="shared" ref="W257" si="473">U257-V257</f>
        <v>763.3974596215561</v>
      </c>
      <c r="X257" s="68">
        <f t="shared" ref="X257" si="474">U257+V257</f>
        <v>936.6025403784439</v>
      </c>
      <c r="Y257" s="69">
        <f>AVERAGE(N257,P257,R257)</f>
        <v>800</v>
      </c>
      <c r="Z257" s="69">
        <f>MEDIAN(N257,P257,R257)</f>
        <v>800</v>
      </c>
      <c r="AA257" s="70">
        <f>_xlfn.STDEV.P(N257,P257,R257)</f>
        <v>0</v>
      </c>
      <c r="AB257" s="71">
        <f t="shared" ref="AB257" si="475">AA257/Y257</f>
        <v>0</v>
      </c>
      <c r="AC257" s="70" t="str">
        <f t="shared" ref="AC257" si="476">IF(AB257&lt;25%,"Média",IF(AB257&gt;=25%,"Mediana"))</f>
        <v>Média</v>
      </c>
      <c r="AD257" s="44">
        <f>AVERAGE(M257:N257,P257,R257)</f>
        <v>850</v>
      </c>
    </row>
  </sheetData>
  <mergeCells count="299">
    <mergeCell ref="B12:B20"/>
    <mergeCell ref="D12:D20"/>
    <mergeCell ref="B9:B11"/>
    <mergeCell ref="D9:D11"/>
    <mergeCell ref="B112:B120"/>
    <mergeCell ref="D112:D120"/>
    <mergeCell ref="B21:B23"/>
    <mergeCell ref="D21:D23"/>
    <mergeCell ref="B78:B80"/>
    <mergeCell ref="D78:D80"/>
    <mergeCell ref="L1:L2"/>
    <mergeCell ref="M1:M2"/>
    <mergeCell ref="N1:N2"/>
    <mergeCell ref="O1:O2"/>
    <mergeCell ref="P1:P2"/>
    <mergeCell ref="B1:D2"/>
    <mergeCell ref="E1:E2"/>
    <mergeCell ref="F1:F2"/>
    <mergeCell ref="G1:G2"/>
    <mergeCell ref="H1:H2"/>
    <mergeCell ref="I1:I2"/>
    <mergeCell ref="J1:J2"/>
    <mergeCell ref="K1:K2"/>
    <mergeCell ref="Q9:Q11"/>
    <mergeCell ref="R9:R11"/>
    <mergeCell ref="S9:S11"/>
    <mergeCell ref="AD9:AD11"/>
    <mergeCell ref="E21:E23"/>
    <mergeCell ref="F21:F23"/>
    <mergeCell ref="G21:G23"/>
    <mergeCell ref="H21:H23"/>
    <mergeCell ref="K9:K11"/>
    <mergeCell ref="L9:L11"/>
    <mergeCell ref="M9:M11"/>
    <mergeCell ref="N9:N11"/>
    <mergeCell ref="O9:O11"/>
    <mergeCell ref="P9:P11"/>
    <mergeCell ref="E9:E11"/>
    <mergeCell ref="F9:F11"/>
    <mergeCell ref="G9:G11"/>
    <mergeCell ref="H9:H11"/>
    <mergeCell ref="I9:I11"/>
    <mergeCell ref="J9:J11"/>
    <mergeCell ref="H12:H20"/>
    <mergeCell ref="I12:I20"/>
    <mergeCell ref="J12:J20"/>
    <mergeCell ref="E78:E80"/>
    <mergeCell ref="F78:F80"/>
    <mergeCell ref="G78:G80"/>
    <mergeCell ref="H78:H80"/>
    <mergeCell ref="I78:I80"/>
    <mergeCell ref="J78:J80"/>
    <mergeCell ref="K78:K80"/>
    <mergeCell ref="L78:L80"/>
    <mergeCell ref="M78:M80"/>
    <mergeCell ref="L112:L120"/>
    <mergeCell ref="M112:M120"/>
    <mergeCell ref="N112:N120"/>
    <mergeCell ref="O112:O120"/>
    <mergeCell ref="P112:P120"/>
    <mergeCell ref="N78:N80"/>
    <mergeCell ref="O78:O80"/>
    <mergeCell ref="P78:P80"/>
    <mergeCell ref="I21:I23"/>
    <mergeCell ref="J21:J23"/>
    <mergeCell ref="K21:K23"/>
    <mergeCell ref="L21:L23"/>
    <mergeCell ref="M21:M23"/>
    <mergeCell ref="N21:N23"/>
    <mergeCell ref="O21:O23"/>
    <mergeCell ref="P21:P23"/>
    <mergeCell ref="E112:E120"/>
    <mergeCell ref="Q1:Q2"/>
    <mergeCell ref="R1:R2"/>
    <mergeCell ref="S1:S2"/>
    <mergeCell ref="Q112:Q120"/>
    <mergeCell ref="Q12:Q20"/>
    <mergeCell ref="Q21:Q23"/>
    <mergeCell ref="Q78:Q80"/>
    <mergeCell ref="R12:R20"/>
    <mergeCell ref="K112:K120"/>
    <mergeCell ref="J112:J120"/>
    <mergeCell ref="I112:I120"/>
    <mergeCell ref="H112:H120"/>
    <mergeCell ref="G112:G120"/>
    <mergeCell ref="F112:F120"/>
    <mergeCell ref="K12:K20"/>
    <mergeCell ref="L12:L20"/>
    <mergeCell ref="M12:M20"/>
    <mergeCell ref="N12:N20"/>
    <mergeCell ref="O12:O20"/>
    <mergeCell ref="P12:P20"/>
    <mergeCell ref="E12:E20"/>
    <mergeCell ref="F12:F20"/>
    <mergeCell ref="G12:G20"/>
    <mergeCell ref="AD112:AD120"/>
    <mergeCell ref="T1:T2"/>
    <mergeCell ref="T12:T20"/>
    <mergeCell ref="T78:T80"/>
    <mergeCell ref="T9:T11"/>
    <mergeCell ref="T21:T23"/>
    <mergeCell ref="T112:T120"/>
    <mergeCell ref="AD78:AD80"/>
    <mergeCell ref="R112:R120"/>
    <mergeCell ref="R21:R23"/>
    <mergeCell ref="AD1:AD2"/>
    <mergeCell ref="S12:S20"/>
    <mergeCell ref="S21:S23"/>
    <mergeCell ref="S78:S80"/>
    <mergeCell ref="R78:R80"/>
    <mergeCell ref="S112:S120"/>
    <mergeCell ref="AD12:AD20"/>
    <mergeCell ref="AD21:AD23"/>
    <mergeCell ref="U1:U2"/>
    <mergeCell ref="V1:V2"/>
    <mergeCell ref="W1:W2"/>
    <mergeCell ref="X1:X2"/>
    <mergeCell ref="Y1:Y2"/>
    <mergeCell ref="Z1:Z2"/>
    <mergeCell ref="AO9:AO11"/>
    <mergeCell ref="AP10:AP11"/>
    <mergeCell ref="AE12:AE20"/>
    <mergeCell ref="AF12:AF20"/>
    <mergeCell ref="AG12:AG20"/>
    <mergeCell ref="AH12:AH20"/>
    <mergeCell ref="AI12:AI20"/>
    <mergeCell ref="AJ12:AJ20"/>
    <mergeCell ref="AK12:AK20"/>
    <mergeCell ref="AL12:AL20"/>
    <mergeCell ref="AM12:AM20"/>
    <mergeCell ref="AN12:AN20"/>
    <mergeCell ref="AO12:AO20"/>
    <mergeCell ref="AP12:AP20"/>
    <mergeCell ref="AF9:AF11"/>
    <mergeCell ref="AG9:AG11"/>
    <mergeCell ref="AH9:AH11"/>
    <mergeCell ref="AI9:AI11"/>
    <mergeCell ref="AJ9:AJ11"/>
    <mergeCell ref="AK9:AK11"/>
    <mergeCell ref="AL9:AL11"/>
    <mergeCell ref="AM9:AM11"/>
    <mergeCell ref="AN9:AN11"/>
    <mergeCell ref="AE9:AE11"/>
    <mergeCell ref="AQ12:AQ20"/>
    <mergeCell ref="AR12:AR20"/>
    <mergeCell ref="AE21:AE23"/>
    <mergeCell ref="AF21:AF23"/>
    <mergeCell ref="AG21:AG23"/>
    <mergeCell ref="AH21:AH23"/>
    <mergeCell ref="AI21:AI23"/>
    <mergeCell ref="AJ21:AJ23"/>
    <mergeCell ref="AK21:AK23"/>
    <mergeCell ref="AL21:AL23"/>
    <mergeCell ref="AM21:AM23"/>
    <mergeCell ref="AN21:AN23"/>
    <mergeCell ref="AO21:AO23"/>
    <mergeCell ref="AP21:AP23"/>
    <mergeCell ref="AQ21:AQ23"/>
    <mergeCell ref="AR21:AR23"/>
    <mergeCell ref="AN112:AN120"/>
    <mergeCell ref="AO112:AO120"/>
    <mergeCell ref="AP112:AP120"/>
    <mergeCell ref="AQ112:AQ120"/>
    <mergeCell ref="AR112:AR120"/>
    <mergeCell ref="AE112:AE120"/>
    <mergeCell ref="AF112:AF120"/>
    <mergeCell ref="AG112:AG120"/>
    <mergeCell ref="AH112:AH120"/>
    <mergeCell ref="AI112:AI120"/>
    <mergeCell ref="AJ112:AJ120"/>
    <mergeCell ref="AK112:AK120"/>
    <mergeCell ref="AL112:AL120"/>
    <mergeCell ref="AM112:AM120"/>
    <mergeCell ref="AA1:AA2"/>
    <mergeCell ref="AB1:AB2"/>
    <mergeCell ref="AC1:AC2"/>
    <mergeCell ref="U9:U11"/>
    <mergeCell ref="V9:V11"/>
    <mergeCell ref="W9:W11"/>
    <mergeCell ref="X9:X11"/>
    <mergeCell ref="Y9:Y11"/>
    <mergeCell ref="Z9:Z11"/>
    <mergeCell ref="AA9:AA11"/>
    <mergeCell ref="AB9:AB11"/>
    <mergeCell ref="AC9:AC11"/>
    <mergeCell ref="U36:AC36"/>
    <mergeCell ref="U12:AC20"/>
    <mergeCell ref="U39:AC39"/>
    <mergeCell ref="U43:AC43"/>
    <mergeCell ref="U44:AC44"/>
    <mergeCell ref="U45:AC45"/>
    <mergeCell ref="U21:U23"/>
    <mergeCell ref="V21:V23"/>
    <mergeCell ref="W21:W23"/>
    <mergeCell ref="X21:X23"/>
    <mergeCell ref="Y21:Y23"/>
    <mergeCell ref="Z21:Z23"/>
    <mergeCell ref="AA21:AA23"/>
    <mergeCell ref="AB21:AB23"/>
    <mergeCell ref="AC21:AC23"/>
    <mergeCell ref="U48:AC48"/>
    <mergeCell ref="U50:AC50"/>
    <mergeCell ref="U54:AC54"/>
    <mergeCell ref="U55:AC55"/>
    <mergeCell ref="U58:AC58"/>
    <mergeCell ref="U60:AC60"/>
    <mergeCell ref="U67:AC67"/>
    <mergeCell ref="U38:AC38"/>
    <mergeCell ref="U37:AC37"/>
    <mergeCell ref="U83:AC83"/>
    <mergeCell ref="U85:AC85"/>
    <mergeCell ref="U86:AC86"/>
    <mergeCell ref="U89:AC89"/>
    <mergeCell ref="U91:AC91"/>
    <mergeCell ref="U93:AC93"/>
    <mergeCell ref="U94:AC94"/>
    <mergeCell ref="U68:AC68"/>
    <mergeCell ref="U69:AC69"/>
    <mergeCell ref="U70:AC70"/>
    <mergeCell ref="U73:AC73"/>
    <mergeCell ref="U75:AC75"/>
    <mergeCell ref="U76:AC76"/>
    <mergeCell ref="U77:AC77"/>
    <mergeCell ref="U78:AC80"/>
    <mergeCell ref="U95:AC95"/>
    <mergeCell ref="U97:AC97"/>
    <mergeCell ref="U98:AC98"/>
    <mergeCell ref="U100:AC100"/>
    <mergeCell ref="U99:AC99"/>
    <mergeCell ref="U101:AC101"/>
    <mergeCell ref="U102:AC102"/>
    <mergeCell ref="U103:AC103"/>
    <mergeCell ref="U106:AC106"/>
    <mergeCell ref="U107:AC107"/>
    <mergeCell ref="U112:U120"/>
    <mergeCell ref="V112:V120"/>
    <mergeCell ref="W112:W120"/>
    <mergeCell ref="X112:X120"/>
    <mergeCell ref="Y112:Y120"/>
    <mergeCell ref="Z112:Z120"/>
    <mergeCell ref="AA112:AA120"/>
    <mergeCell ref="AB112:AB120"/>
    <mergeCell ref="AC112:AC120"/>
    <mergeCell ref="U147:AC147"/>
    <mergeCell ref="U149:AC149"/>
    <mergeCell ref="U153:AC153"/>
    <mergeCell ref="U154:AC154"/>
    <mergeCell ref="U158:AC158"/>
    <mergeCell ref="U160:AC160"/>
    <mergeCell ref="U164:AC164"/>
    <mergeCell ref="U132:AC132"/>
    <mergeCell ref="U133:AC133"/>
    <mergeCell ref="U134:AC134"/>
    <mergeCell ref="U135:AC135"/>
    <mergeCell ref="U138:AC138"/>
    <mergeCell ref="U141:AC141"/>
    <mergeCell ref="U146:AC146"/>
    <mergeCell ref="U166:AC166"/>
    <mergeCell ref="U167:AC167"/>
    <mergeCell ref="U170:AC170"/>
    <mergeCell ref="U174:AC174"/>
    <mergeCell ref="U176:AC176"/>
    <mergeCell ref="U177:AC177"/>
    <mergeCell ref="U178:AC178"/>
    <mergeCell ref="U179:AC179"/>
    <mergeCell ref="U183:AC183"/>
    <mergeCell ref="U184:AC184"/>
    <mergeCell ref="U185:AC185"/>
    <mergeCell ref="U188:AC188"/>
    <mergeCell ref="U193:AC193"/>
    <mergeCell ref="U196:AC196"/>
    <mergeCell ref="U199:AC199"/>
    <mergeCell ref="U200:AC200"/>
    <mergeCell ref="U201:AC201"/>
    <mergeCell ref="U205:AC205"/>
    <mergeCell ref="U211:AC211"/>
    <mergeCell ref="U212:AC212"/>
    <mergeCell ref="U213:AC213"/>
    <mergeCell ref="U214:AC214"/>
    <mergeCell ref="U215:AC215"/>
    <mergeCell ref="U221:AC221"/>
    <mergeCell ref="U222:AC222"/>
    <mergeCell ref="U223:AC223"/>
    <mergeCell ref="U229:AC229"/>
    <mergeCell ref="U242:AC242"/>
    <mergeCell ref="U251:AC251"/>
    <mergeCell ref="U252:AC252"/>
    <mergeCell ref="U253:AC253"/>
    <mergeCell ref="U254:AC254"/>
    <mergeCell ref="U256:AC256"/>
    <mergeCell ref="U231:AC231"/>
    <mergeCell ref="U232:AC232"/>
    <mergeCell ref="U233:AC233"/>
    <mergeCell ref="U236:AC236"/>
    <mergeCell ref="U237:AC237"/>
    <mergeCell ref="U238:AC238"/>
    <mergeCell ref="U239:AC239"/>
    <mergeCell ref="U240:AC240"/>
    <mergeCell ref="U241:AC241"/>
  </mergeCells>
  <pageMargins left="0.511811024" right="0.511811024" top="0.78740157499999996" bottom="0.78740157499999996" header="0.31496062000000002" footer="0.31496062000000002"/>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QUADRO RESUMO</vt:lpstr>
      <vt:lpstr>EVENTOS TÉCNICOS</vt:lpstr>
      <vt:lpstr>EVENTOS DE ENTREGA</vt:lpstr>
      <vt:lpstr>EVENTO DE DIVULGAÇÃO</vt:lpstr>
      <vt:lpstr>EVENTOS INTERNO</vt:lpstr>
      <vt:lpstr>EVENTOS COMEMORATIVOS</vt:lpstr>
      <vt:lpstr>ANÁLISE DOS PREÇOS COLETADOS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Wescley</dc:creator>
  <cp:lastModifiedBy>Wescley</cp:lastModifiedBy>
  <dcterms:created xsi:type="dcterms:W3CDTF">2021-05-24T17:07:12Z</dcterms:created>
  <dcterms:modified xsi:type="dcterms:W3CDTF">2021-06-24T04:32:43Z</dcterms:modified>
</cp:coreProperties>
</file>